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ThisWorkbook" defaultThemeVersion="166925"/>
  <mc:AlternateContent xmlns:mc="http://schemas.openxmlformats.org/markup-compatibility/2006">
    <mc:Choice Requires="x15">
      <x15ac:absPath xmlns:x15ac="http://schemas.microsoft.com/office/spreadsheetml/2010/11/ac" url="https://canaltrece-my.sharepoint.com/personal/ylatorre_canaltrece_com_co/Documents/Control Interno/AAINFORMES/eKOGUI/2021/segundo semestre/"/>
    </mc:Choice>
  </mc:AlternateContent>
  <xr:revisionPtr revIDLastSave="0" documentId="8_{A30EAD84-61CD-4F24-B5C9-A6CFF837121D}" xr6:coauthVersionLast="47" xr6:coauthVersionMax="47" xr10:uidLastSave="{00000000-0000-0000-0000-000000000000}"/>
  <bookViews>
    <workbookView xWindow="-120" yWindow="-120" windowWidth="20730" windowHeight="11160" tabRatio="777" activeTab="3"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13" i="12" l="1"/>
  <c r="A17" i="12"/>
  <c r="A15" i="12"/>
  <c r="A14" i="12"/>
  <c r="A16" i="12"/>
  <c r="C12" i="5" l="1"/>
  <c r="V3" i="7"/>
  <c r="G14" i="1" l="1"/>
  <c r="G15" i="12" s="1"/>
  <c r="G13" i="1"/>
  <c r="G14" i="12" s="1"/>
  <c r="G15" i="1"/>
  <c r="G16" i="12" s="1"/>
  <c r="G16" i="1"/>
  <c r="G17" i="12" s="1"/>
  <c r="G17" i="1"/>
  <c r="G18" i="12" s="1"/>
  <c r="G12" i="1"/>
  <c r="G13" i="12" s="1"/>
  <c r="F17" i="5" l="1"/>
  <c r="F15" i="5"/>
  <c r="F10" i="5"/>
  <c r="C19" i="5"/>
  <c r="C17" i="5"/>
  <c r="C16" i="5"/>
  <c r="T16" i="10"/>
  <c r="T12" i="10"/>
  <c r="W3" i="8"/>
  <c r="C25" i="8" s="1"/>
  <c r="T17" i="10" l="1"/>
  <c r="F13" i="5" s="1"/>
  <c r="V2" i="9"/>
  <c r="V3" i="9" s="1"/>
  <c r="F9" i="9" s="1"/>
  <c r="F11" i="5" l="1"/>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<sst xmlns="http://schemas.openxmlformats.org/spreadsheetml/2006/main" count="272" uniqueCount="191">
  <si>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</si>
  <si>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</si>
  <si>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</si>
  <si>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</si>
  <si>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</si>
  <si>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</si>
  <si>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</si>
  <si>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</si>
  <si>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</si>
  <si>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</si>
  <si>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</si>
  <si>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</si>
  <si>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</si>
  <si>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</si>
  <si>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</si>
  <si>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</si>
  <si>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</si>
  <si>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</si>
  <si>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</si>
  <si>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</si>
  <si>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</si>
  <si>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</si>
  <si>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</si>
  <si>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</si>
  <si>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</si>
  <si>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</si>
  <si>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</si>
  <si>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de más de 33.000 SMMLV</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</si>
  <si>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</si>
  <si>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</si>
  <si>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</si>
  <si>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</si>
  <si>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</si>
  <si>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</si>
  <si>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</si>
  <si>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</si>
  <si>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</si>
  <si>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</si>
  <si>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</si>
  <si>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</si>
  <si>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</si>
  <si>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</si>
  <si>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</si>
  <si>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</si>
  <si>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</si>
  <si>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</si>
  <si>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</si>
  <si>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</si>
  <si>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Pagos relacionados</t>
  </si>
  <si>
    <t>Uso del módulo pagos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</si>
  <si>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</si>
  <si>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</si>
  <si>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</si>
  <si>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</si>
  <si>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</si>
  <si>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</si>
  <si>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</si>
  <si>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</si>
  <si>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</si>
  <si>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</si>
  <si>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</si>
  <si>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</si>
  <si>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</si>
  <si>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</si>
  <si>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</si>
  <si>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</si>
  <si>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</si>
  <si>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</si>
  <si>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</si>
  <si>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</si>
  <si>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</si>
  <si>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</si>
  <si>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</si>
  <si>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</si>
  <si>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</si>
  <si>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Provisión incorrecta</t>
  </si>
  <si>
    <t>JUDICIALES</t>
  </si>
  <si>
    <t>PREJUDICIALES</t>
  </si>
  <si>
    <t>Plantilla de certificado de Control Interno eKOGUI</t>
  </si>
  <si>
    <t>ACTUALIZADO</t>
  </si>
  <si>
    <t>Entre 21-03-2019 y 31-12-2019</t>
  </si>
  <si>
    <t>PROCESOS SIN ABOGADO ASIGNADO(1)</t>
  </si>
  <si>
    <t>PROCESOS ACTIVOS CON ESTADO TERMINADO(3)</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</si>
  <si>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</si>
  <si>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</si>
  <si>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</si>
  <si>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</si>
  <si>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</si>
  <si>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</si>
  <si>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</si>
  <si>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</si>
  <si>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</si>
  <si>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</si>
  <si>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</si>
  <si>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</si>
  <si>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</si>
  <si>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</si>
  <si>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</si>
  <si>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</si>
  <si>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</si>
  <si>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</si>
  <si>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</si>
  <si>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</si>
  <si>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</si>
  <si>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</si>
  <si>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</si>
  <si>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</si>
  <si>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</si>
  <si>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</si>
  <si>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</si>
  <si>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Posteriores al 01-01-2020</t>
  </si>
  <si>
    <t>Fecha de diligenciamiento de plantilla</t>
  </si>
  <si>
    <t>NOMBRE JEFE CONTROL INTERNO</t>
  </si>
  <si>
    <t>(2) Con fecha de actuación en 2021</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</si>
  <si>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</si>
  <si>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</si>
  <si>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</si>
  <si>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</si>
  <si>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</si>
  <si>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</si>
  <si>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</si>
  <si>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</si>
  <si>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</si>
  <si>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</si>
  <si>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</si>
  <si>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</si>
  <si>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</si>
  <si>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</si>
  <si>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</si>
  <si>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</si>
  <si>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</si>
  <si>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</si>
  <si>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</si>
  <si>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</si>
  <si>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</si>
  <si>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</si>
  <si>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</si>
  <si>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</si>
  <si>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</si>
  <si>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</si>
  <si>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</si>
  <si>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</si>
  <si>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</si>
  <si>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</si>
  <si>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</si>
  <si>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</si>
  <si>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</si>
  <si>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</si>
  <si>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</si>
  <si>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Abogados al 31 de diciembre de 2021</t>
  </si>
  <si>
    <t>ABOGADOS ACTIVOS AL 31-12-2021</t>
  </si>
  <si>
    <t>PROCESOS ACTIVOS AL 31 DE DICIEMBRE DE 2021</t>
  </si>
  <si>
    <t>(1) Con fecha de registro anterior al 15-12-2021</t>
  </si>
  <si>
    <t>PROCESOS TERMINADOS SEGUNDO SEMESTRE 2021</t>
  </si>
  <si>
    <t>PROCESOS TERMINADOS DURANTE SEGUNDO SEMESTRE 2021</t>
  </si>
  <si>
    <t>TERMINADOS EN EKOGUI DURANTE SEGUNDO SEMESTRE 2021 (2)</t>
  </si>
  <si>
    <t>PROCESO TERMINADOS AL 31 DE DICIEMBRE 2021</t>
  </si>
  <si>
    <r>
      <t>(3)En el reporte de activos al 31 de diciembre verifique la columna</t>
    </r>
    <r>
      <rPr>
        <b/>
        <i/>
        <sz val="9"/>
        <color theme="1"/>
        <rFont val="Calibri"/>
        <family val="2"/>
        <scheme val="minor"/>
      </rPr>
      <t xml:space="preserve"> Estado General del proceso</t>
    </r>
  </si>
  <si>
    <t>(4)Equivalente a un valor indexado de $29.981 millones a 31 de diciembre de 2021</t>
  </si>
  <si>
    <t>PROCESOS ACTIVOS EN CALIDAD DEMANDADO AL 31-12-2021</t>
  </si>
  <si>
    <t>PROCESOS CON CALIFICACIÓN SEGUNDO SEMESTRE 2021</t>
  </si>
  <si>
    <t>PROCESOS CON CALIFICACIÓN ANTERIOR A 30-06-2021</t>
  </si>
  <si>
    <t>(6) Solo se consideran los procesos activos - calidad demandado al 31 de DICIEMBRE de 2021 que tengan calificación de riesgo</t>
  </si>
  <si>
    <t># PROCESOS</t>
  </si>
  <si>
    <t>REGISTRO POSTERIOR AL 01/07/2021</t>
  </si>
  <si>
    <t>REGISTRO EN 2020 Y ANTERIORES</t>
  </si>
  <si>
    <t>TOTAL PREJUDICIALES TERMINADOS II SEM. 2021</t>
  </si>
  <si>
    <t>TERMINADOS ÚLTIMA ACTUACIÓN II SEM. 2021</t>
  </si>
  <si>
    <t>ARBITRAMENTOS ACTIVOS AL 31-12-2021</t>
  </si>
  <si>
    <t>TOTAL ARBITRAMENTOS TERMINADOS  AL 31-12-2021</t>
  </si>
  <si>
    <t>NOMBRE ENTIDAD</t>
  </si>
  <si>
    <t>NOMBRE Y APELLIDO JEFE CONTROL INTERNO</t>
  </si>
  <si>
    <t>Favor Diligenciar los Campos Resaltados y Revisar la Información Incompleta Antes de Remitir a la ANDJE</t>
  </si>
  <si>
    <t>Pagos enlazados al 31-12-2021</t>
  </si>
  <si>
    <t>Favor Diligenciar los campos Resaltados</t>
  </si>
  <si>
    <t>RETIRADOS EN LA ENTIDAD SEGUNDO SEMESTRE 2021</t>
  </si>
  <si>
    <t>INACTIVADOS EN EKOGUI SEGUNDO SEMESTRE 2021</t>
  </si>
  <si>
    <t>Conciliaciones Prejudiciales</t>
  </si>
  <si>
    <t>PREJUDICIALES ACTIVAS AL 31-12-2021</t>
  </si>
  <si>
    <t>PREJUDICIALES TERMINADAS SEGUNDO SEMESTRE 2021</t>
  </si>
  <si>
    <t>Procesos que se encuentran terminados</t>
  </si>
  <si>
    <t>REGISTRO ENTRE 1 DE ENERO Y 30 DE JUNIO 2021</t>
  </si>
  <si>
    <t>Eliana Milena Sanabria Gómez</t>
  </si>
  <si>
    <t>Maria Fernanda Carrillo Méndez</t>
  </si>
  <si>
    <t>Yeniffer Latorre Casas</t>
  </si>
  <si>
    <t>Se indicó por parte de la Dirección Jurídica y Administrativa lo siguiente:
1. Frente al perfil de Jefe Financiero, : "En cuanto a la última capacitación, es preciso indicar que, esta se llevó a cabo el pasado
18 de agosto y contó con la presencia de la Dra. María Fernanda Carrillo Méndez, quien en su momento ostentaba la mayoría de los perfiles creados en el sistema. No obstante, es importante reiterar que aquella también contó con la participación de quien en la actualidad
es la encargada de su manejo.". En consecuencia se deja en la fecha de capacitación, el certificado a nombre de la Dra. María Fernanda Carrillo Méndez, no sin antes recomendar a quien ostenta el perfil de Jefe Financiero, que efectúe la capcitación en el sistema Ekogui.
2. Respecto del perfil de Jefe Jurídico, se indicó: " Este usuario se encuentra en cabeza de la Directora Jurídica y Administrativa, quien para el 31 de diciembre de 2021 se encontraba a cargo Yivy Katherine Gómez Pardo. No obstante, para la fecha de realización de la última capacitación, la cual se realizó el 18 de agosto de 2021, se encontraba la Doctora María Fernanda Carrillo Méndez. Sin embargo, en aquella oportunidad se contó con la participación de las dos profesionales." No obstante, para la fecha de verificación de la información, el perfil de jefe jurídico presentó el nombre de la Dra. Maria Fernanda Carrillo Méndez. De otra parte, verificado el soporte de capacitación de ekogui, se identificó que en efecto la funcionaria Yivi Katherine Gómez Pardo, presentó certificado de fecha 18 de agosto de 2021.
3. La entidad no realiza pagos por SIIF, por lo tanto no requiere enlace de pagos.
4. Sobre el perfil de Secretario Técnico se señaló: "Este usuario se encuentra en cabeza de la Directora Jurídica y Administrativa, quien para el 31 de diciembre de 2021 se encontraba a cargo Yivy Katherine Gómez Pardo. No obstante, para la fecha de realización de la última capacitación,
la cual se realizó el 18 de agosto de 2021, se encontraba la Doctora María Fernanda Carrillo Méndez. Sin embargo, en aquella oportunidad se contó con la participación de las dos profesionales."No obstante, para la fecha de verificación de la información, el perfil de Secretario Técnico presentó el nombre de la Dra. Maria Fernanda Carrillo Méndez. De otra parte, verificado el soporte de capacitación de ekogui, se identificó que en efecto la funcionaria Yivi Katherine Gómez Pardo, presentó certificado de fecha 18 de agosto de 2021.
5. Para el perfil de Administrador de la entidad, se indicó: "Este usuario se encuentra en cabeza de la Directora Jurídica y Administrativa, quien para el 31 de diciembre de 2021 se encontraba a cargo Yivy Katherine Gómez Pardo. No obstante, para la fecha de realización de la última capacitación, la cual se realizó el 18 de agosto de 2021, se encontraba la Doctora María Fernanda Carrillo Méndez. Sin embargo, en aquella oportunidad se contó con la participación de las dos profesionales.". No obstante, al verificarse en la plataforma, la persona que ostenta el perfil sigue siendo la Doctora María Fernanda Carrillo Méndez, es decir, se encuentra desactualizada la información en el aplicativo de ekogui.</t>
  </si>
  <si>
    <t>No se tienen observaciones al respecto, toda vez que la información reportada por la Dirección Jurídica y Administrativa, coincide con los reportes generados en el aplicativo ekogui.</t>
  </si>
  <si>
    <t>No se tienen observaciones al respecto, toda vez que la información reportada 
por la Dirección Jurídica y Administrativa, coincide con los reportes generados en el aplicativo ekogui.</t>
  </si>
  <si>
    <t>TEVEANDINA LTDA - CANAL TRECE</t>
  </si>
  <si>
    <t>Existen dos abogados que se encuentran litigando, no obstante en el aplicativo ekogui, se encuentran activos 5 abogados. Por tal motivo, el equipo de la Oficina de Control Interno indagó con el personal de la Dirección Jurídica y Administrativa sobre tal situación, a lo que señalaron que a la fecha se encuentran tres procesos que no se han logrado terminar, por tal motivo éstos apoderados siguen en estado activo en el aplicativo de ekogui. Por lo anterior, esta es la situación del porqué de la diferencia presentada.</t>
  </si>
  <si>
    <t>El proceso identificado con número ekogui 194150 y código procesal No. 11001310500220110065800, no presenta abogado asignado, no obstante la Dirección Jurídica y Administrativa de la Entidad, señaló: "Este proceso finalizó con sentencia de segunda instancia del 14 de febrero de 2013. Actualmente se encuentra activo porque en su momento se solicitó a la Agencia Nacional de Defensa Jurídica del Estado activarlo con la finalidad de cargar los documentos que acrediten su finalización, por tal razón no tiene apoderado."
Se indagó sobre los procesos terminados en el segundo semestre, motivo por el cual el equipo de la Dirección Jurídica y Administrativa señaló: 1. Para el  proceso identificado con código procesal No. 11001310502620190028400 aparece terminado en la ruta Procesos Judiciales/Home/Estado - Terminado; no obstante al verificarse en la amtriz generada en el enlace de Accesos Rápidos/ Descargar Información básica de procesos judiciales "Terminados", no aparece el registro del mismo, por lo cual se recomienda consultar a la ANDJE para verificar si es un error de la plataforma u otra situación del aplicativo. 2. Proceso identificado con código procesal No. 25000232600019980236701 se cargó la ejecutoria del proceso para que quede formalmente cerrado en el aplicativo, no obstante el cierre de este proceso, no quedaría inmerso dentro del seguimiento del segundo semestre de la vigencia 2021. 3. El proceso con código procesal No. 11001334306620190001800 se indicó que el canal esta actuando como tercero interviniente, por lo cual no es el responsable de cerrar el proceso en el aplicativo, no obstante, el equipo de la OCI, recomendó comunicarse con la ANDJE para recibir instrucciones de como proceder para su cierre en el aplicativo.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</si>
</sst>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28">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0" xfId="0" applyFill="1" applyBorder="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applyFont="1"/>
    <xf numFmtId="164" fontId="15" fillId="0" borderId="0" xfId="2" applyNumberFormat="1"/>
    <xf numFmtId="0" fontId="15" fillId="4" borderId="0" xfId="2" applyFont="1" applyFill="1"/>
    <xf numFmtId="0" fontId="15" fillId="4" borderId="0" xfId="2" applyFont="1" applyFill="1" applyBorder="1"/>
    <xf numFmtId="0" fontId="15" fillId="4" borderId="0" xfId="2" applyFont="1"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Fill="1" applyBorder="1" applyProtection="1">
      <protection hidden="1"/>
    </xf>
    <xf numFmtId="0" fontId="0" fillId="2" borderId="0" xfId="0" applyFill="1" applyBorder="1" applyAlignment="1">
      <alignment horizontal="center"/>
    </xf>
    <xf numFmtId="0" fontId="4" fillId="2" borderId="0" xfId="0" applyFont="1" applyFill="1" applyProtection="1"/>
    <xf numFmtId="0" fontId="0" fillId="2" borderId="0" xfId="0" applyFill="1" applyBorder="1" applyAlignment="1" applyProtection="1"/>
    <xf numFmtId="0" fontId="0" fillId="0" borderId="0" xfId="0" applyBorder="1" applyProtection="1"/>
    <xf numFmtId="0" fontId="0" fillId="2" borderId="5" xfId="0" applyFill="1" applyBorder="1" applyProtection="1"/>
    <xf numFmtId="0" fontId="0" fillId="0" borderId="0" xfId="0" applyFill="1" applyProtection="1"/>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Border="1" applyAlignment="1">
      <alignment horizontal="center" vertical="center"/>
    </xf>
    <xf numFmtId="0" fontId="17" fillId="0" borderId="0"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wrapText="1"/>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wrapText="1"/>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6" borderId="7" xfId="0" applyFill="1" applyBorder="1" applyAlignment="1" applyProtection="1">
      <alignment horizontal="center" vertical="top"/>
      <protection locked="0"/>
    </xf>
    <xf numFmtId="0" fontId="6" fillId="0" borderId="0" xfId="0" applyFont="1" applyBorder="1" applyAlignment="1">
      <alignment horizontal="center"/>
    </xf>
    <xf numFmtId="0" fontId="0" fillId="6" borderId="13" xfId="0" applyFill="1" applyBorder="1" applyAlignment="1" applyProtection="1">
      <alignment horizontal="left" vertical="top"/>
      <protection locked="0"/>
    </xf>
  </cellXfs>
  <cellStyles count="3">
    <cellStyle name="Excel Built-in Normal" xfId="2" xr:uid="{00000000-0005-0000-0000-000000000000}"/>
    <cellStyle name="Normal" xfId="0" builtinId="0"/>
    <cellStyle name="Porcentaje" xfId="1" builtinId="5"/>
  </cellStyles>
  <dxfs count="4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 y Validaci&#243;n'!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workbookViewId="0"/>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91" t="s">
        <v>78</v>
      </c>
      <c r="C3" s="92"/>
      <c r="D3" s="92"/>
      <c r="E3" s="92"/>
      <c r="F3" s="92"/>
      <c r="G3" s="92"/>
      <c r="H3" s="92"/>
      <c r="I3" s="92"/>
      <c r="J3" s="92"/>
      <c r="K3" s="92"/>
      <c r="L3" s="92"/>
      <c r="M3" s="92"/>
      <c r="N3" s="92"/>
      <c r="O3" s="93"/>
    </row>
    <row r="4" spans="2:15" ht="23.25" x14ac:dyDescent="0.35">
      <c r="B4" s="91" t="s">
        <v>11</v>
      </c>
      <c r="C4" s="92"/>
      <c r="D4" s="92"/>
      <c r="E4" s="92"/>
      <c r="F4" s="92"/>
      <c r="G4" s="92"/>
      <c r="H4" s="92"/>
      <c r="I4" s="92"/>
      <c r="J4" s="92"/>
      <c r="K4" s="92"/>
      <c r="L4" s="92"/>
      <c r="M4" s="92"/>
      <c r="N4" s="92"/>
      <c r="O4" s="93"/>
    </row>
    <row r="5" spans="2:15" x14ac:dyDescent="0.25">
      <c r="B5" s="5"/>
      <c r="C5" s="6"/>
      <c r="D5" s="6"/>
      <c r="E5" s="6"/>
      <c r="F5" s="6"/>
      <c r="G5" s="6"/>
      <c r="H5" s="6"/>
      <c r="I5" s="6"/>
      <c r="J5" s="6"/>
      <c r="K5" s="6"/>
      <c r="L5" s="6"/>
      <c r="M5" s="6"/>
      <c r="N5" s="6"/>
      <c r="O5" s="7"/>
    </row>
    <row r="6" spans="2:15" x14ac:dyDescent="0.25">
      <c r="B6" s="5"/>
      <c r="C6" s="94" t="s">
        <v>91</v>
      </c>
      <c r="D6" s="94"/>
      <c r="E6" s="94"/>
      <c r="F6" s="94"/>
      <c r="G6" s="94"/>
      <c r="H6" s="94"/>
      <c r="I6" s="94"/>
      <c r="J6" s="94"/>
      <c r="K6" s="94"/>
      <c r="L6" s="94"/>
      <c r="M6" s="94"/>
      <c r="N6" s="94"/>
      <c r="O6" s="7"/>
    </row>
    <row r="7" spans="2:15" x14ac:dyDescent="0.25">
      <c r="B7" s="5"/>
      <c r="C7" s="94"/>
      <c r="D7" s="94"/>
      <c r="E7" s="94"/>
      <c r="F7" s="94"/>
      <c r="G7" s="94"/>
      <c r="H7" s="94"/>
      <c r="I7" s="94"/>
      <c r="J7" s="94"/>
      <c r="K7" s="94"/>
      <c r="L7" s="94"/>
      <c r="M7" s="94"/>
      <c r="N7" s="94"/>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jixiNfD+nofjAxMPyQEwidGoTJEdLEh3lZobn98nwgWvzNuweENJPEe6u5elpVqKe6ynHDatuY0qk+QHeybBlg==" saltValue="4rftt6+0w0ym0OjRMUwWOw=="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topLeftCell="A5" zoomScale="80" zoomScaleNormal="80" workbookViewId="0">
      <selection activeCell="E12" sqref="E12"/>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95" t="s">
        <v>109</v>
      </c>
      <c r="C7" s="96"/>
      <c r="D7" s="96"/>
      <c r="E7" s="96"/>
      <c r="F7" s="96"/>
      <c r="G7" s="97"/>
      <c r="T7" s="1" t="s">
        <v>12</v>
      </c>
    </row>
    <row r="8" spans="2:20" ht="15.75" thickBot="1" x14ac:dyDescent="0.3">
      <c r="B8" s="14"/>
      <c r="C8" s="15"/>
      <c r="D8" s="103" t="s">
        <v>148</v>
      </c>
      <c r="E8" s="103"/>
      <c r="F8" s="15"/>
      <c r="G8" s="16"/>
      <c r="T8" s="1" t="s">
        <v>13</v>
      </c>
    </row>
    <row r="9" spans="2:20" ht="15.75" thickBot="1" x14ac:dyDescent="0.3">
      <c r="B9" s="101" t="s">
        <v>111</v>
      </c>
      <c r="C9" s="102"/>
      <c r="D9" s="79">
        <v>44620</v>
      </c>
      <c r="E9" s="15"/>
      <c r="F9" s="15"/>
      <c r="G9" s="16"/>
      <c r="T9" s="1" t="s">
        <v>14</v>
      </c>
    </row>
    <row r="10" spans="2:20" x14ac:dyDescent="0.25">
      <c r="B10" s="14" t="s">
        <v>174</v>
      </c>
      <c r="C10" s="15"/>
      <c r="D10" s="15"/>
      <c r="E10" s="15"/>
      <c r="F10" s="15"/>
      <c r="G10" s="67">
        <v>43545</v>
      </c>
    </row>
    <row r="11" spans="2:20" x14ac:dyDescent="0.25">
      <c r="B11" s="22" t="s">
        <v>15</v>
      </c>
      <c r="C11" s="23" t="s">
        <v>16</v>
      </c>
      <c r="D11" s="24" t="s">
        <v>6</v>
      </c>
      <c r="E11" s="23" t="s">
        <v>7</v>
      </c>
      <c r="F11" s="23" t="s">
        <v>17</v>
      </c>
      <c r="G11" s="25" t="s">
        <v>79</v>
      </c>
    </row>
    <row r="12" spans="2:20" x14ac:dyDescent="0.25">
      <c r="B12" s="21" t="s">
        <v>0</v>
      </c>
      <c r="C12" s="78" t="s">
        <v>12</v>
      </c>
      <c r="D12" s="79">
        <v>44574</v>
      </c>
      <c r="E12" s="78" t="s">
        <v>182</v>
      </c>
      <c r="F12" s="79">
        <v>44426</v>
      </c>
      <c r="G12" s="80" t="str">
        <f>+IF(C12="SI",IF(F12&lt;$G$10,"DESACTUALIZADO",""),"")</f>
        <v/>
      </c>
      <c r="H12" s="42">
        <f t="shared" ref="H12:H17" si="0">+IF(C12="N/A",1,0)</f>
        <v>0</v>
      </c>
      <c r="I12" s="42">
        <f t="shared" ref="I12:I17" si="1">+IF(C12="Si",1,0)</f>
        <v>1</v>
      </c>
      <c r="J12" s="42">
        <f t="shared" ref="J12:J17" si="2">+IF(C12="No",1,0)</f>
        <v>0</v>
      </c>
    </row>
    <row r="13" spans="2:20" x14ac:dyDescent="0.25">
      <c r="B13" s="21" t="s">
        <v>1</v>
      </c>
      <c r="C13" s="78" t="s">
        <v>12</v>
      </c>
      <c r="D13" s="79">
        <v>43592</v>
      </c>
      <c r="E13" s="78" t="s">
        <v>183</v>
      </c>
      <c r="F13" s="79">
        <v>44426</v>
      </c>
      <c r="G13" s="80" t="str">
        <f t="shared" ref="G13:G17" si="3">+IF(C13="SI",IF(F13&lt;$G$10,"DESACTUALIZADO",""),"")</f>
        <v/>
      </c>
      <c r="H13" s="42">
        <f t="shared" si="0"/>
        <v>0</v>
      </c>
      <c r="I13" s="42">
        <f t="shared" si="1"/>
        <v>1</v>
      </c>
      <c r="J13" s="42">
        <f t="shared" si="2"/>
        <v>0</v>
      </c>
    </row>
    <row r="14" spans="2:20" x14ac:dyDescent="0.25">
      <c r="B14" s="21" t="s">
        <v>2</v>
      </c>
      <c r="C14" s="78" t="s">
        <v>14</v>
      </c>
      <c r="D14" s="78"/>
      <c r="E14" s="78"/>
      <c r="F14" s="78"/>
      <c r="G14" s="80" t="str">
        <f t="shared" si="3"/>
        <v/>
      </c>
      <c r="H14" s="42">
        <f t="shared" si="0"/>
        <v>1</v>
      </c>
      <c r="I14" s="42">
        <f t="shared" si="1"/>
        <v>0</v>
      </c>
      <c r="J14" s="42">
        <f t="shared" si="2"/>
        <v>0</v>
      </c>
      <c r="T14" s="48">
        <v>43545</v>
      </c>
    </row>
    <row r="15" spans="2:20" x14ac:dyDescent="0.25">
      <c r="B15" s="21" t="s">
        <v>3</v>
      </c>
      <c r="C15" s="78" t="s">
        <v>12</v>
      </c>
      <c r="D15" s="79">
        <v>42580</v>
      </c>
      <c r="E15" s="78" t="s">
        <v>184</v>
      </c>
      <c r="F15" s="79">
        <v>44615</v>
      </c>
      <c r="G15" s="80" t="str">
        <f t="shared" si="3"/>
        <v/>
      </c>
      <c r="H15" s="42">
        <f t="shared" si="0"/>
        <v>0</v>
      </c>
      <c r="I15" s="42">
        <f t="shared" si="1"/>
        <v>1</v>
      </c>
      <c r="J15" s="42">
        <f t="shared" si="2"/>
        <v>0</v>
      </c>
    </row>
    <row r="16" spans="2:20" x14ac:dyDescent="0.25">
      <c r="B16" s="21" t="s">
        <v>4</v>
      </c>
      <c r="C16" s="78" t="s">
        <v>12</v>
      </c>
      <c r="D16" s="79">
        <v>43592</v>
      </c>
      <c r="E16" s="78" t="s">
        <v>183</v>
      </c>
      <c r="F16" s="79">
        <v>44426</v>
      </c>
      <c r="G16" s="80" t="str">
        <f t="shared" si="3"/>
        <v/>
      </c>
      <c r="H16" s="42">
        <f t="shared" si="0"/>
        <v>0</v>
      </c>
      <c r="I16" s="42">
        <f t="shared" si="1"/>
        <v>1</v>
      </c>
      <c r="J16" s="42">
        <f t="shared" si="2"/>
        <v>0</v>
      </c>
    </row>
    <row r="17" spans="2:10" x14ac:dyDescent="0.25">
      <c r="B17" s="21" t="s">
        <v>5</v>
      </c>
      <c r="C17" s="78" t="s">
        <v>12</v>
      </c>
      <c r="D17" s="79">
        <v>43521</v>
      </c>
      <c r="E17" s="78" t="s">
        <v>183</v>
      </c>
      <c r="F17" s="79">
        <v>44426</v>
      </c>
      <c r="G17" s="80" t="str">
        <f t="shared" si="3"/>
        <v/>
      </c>
      <c r="H17" s="42">
        <f t="shared" si="0"/>
        <v>0</v>
      </c>
      <c r="I17" s="42">
        <f t="shared" si="1"/>
        <v>1</v>
      </c>
      <c r="J17" s="42">
        <f t="shared" si="2"/>
        <v>0</v>
      </c>
    </row>
    <row r="18" spans="2:10" x14ac:dyDescent="0.25">
      <c r="B18" s="14"/>
      <c r="C18" s="15"/>
      <c r="D18" s="15"/>
      <c r="E18" s="15"/>
      <c r="F18" s="15"/>
      <c r="G18" s="16"/>
    </row>
    <row r="19" spans="2:10" ht="94.5" customHeight="1" thickBot="1" x14ac:dyDescent="0.3">
      <c r="B19" s="62" t="s">
        <v>94</v>
      </c>
      <c r="C19" s="98" t="s">
        <v>185</v>
      </c>
      <c r="D19" s="99"/>
      <c r="E19" s="99"/>
      <c r="F19" s="99"/>
      <c r="G19" s="100"/>
    </row>
  </sheetData>
  <sheetProtection algorithmName="SHA-512" hashValue="oHz1DPDdCQTfk6HZYZzwTSwYDKTppR1PbQ2tnrxwRrliyvD3HJxqgmjnxso6QvoYykx3jGyO1xZtda5gpn7FiQ==" saltValue="yDPNcT7s0avqeYJyH+YnUg==" spinCount="100000" sheet="1" objects="1" scenarios="1"/>
  <dataConsolidate/>
  <mergeCells count="4">
    <mergeCell ref="B7:G7"/>
    <mergeCell ref="C19:G19"/>
    <mergeCell ref="B9:C9"/>
    <mergeCell ref="D8:E8"/>
  </mergeCells>
  <conditionalFormatting sqref="C12:C17">
    <cfRule type="containsText" dxfId="46" priority="18" operator="containsText" text="N/A">
      <formula>NOT(ISERROR(SEARCH("N/A",C12)))</formula>
    </cfRule>
    <cfRule type="containsBlanks" dxfId="45" priority="26">
      <formula>LEN(TRIM(C12))=0</formula>
    </cfRule>
  </conditionalFormatting>
  <conditionalFormatting sqref="D9">
    <cfRule type="containsBlanks" dxfId="44" priority="25">
      <formula>LEN(TRIM(D9))=0</formula>
    </cfRule>
  </conditionalFormatting>
  <conditionalFormatting sqref="D12:F17">
    <cfRule type="containsBlanks" dxfId="43" priority="20">
      <formula>LEN(TRIM(D12))=0</formula>
    </cfRule>
  </conditionalFormatting>
  <conditionalFormatting sqref="C19">
    <cfRule type="containsBlanks" dxfId="42" priority="19">
      <formula>LEN(TRIM(C19))=0</formula>
    </cfRule>
  </conditionalFormatting>
  <conditionalFormatting sqref="D12:F12">
    <cfRule type="expression" dxfId="41" priority="14">
      <formula>OR($C$12="No",$C$12="N/A")</formula>
    </cfRule>
  </conditionalFormatting>
  <conditionalFormatting sqref="D14:F14">
    <cfRule type="expression" dxfId="40" priority="13">
      <formula>OR($C$14="No",$C$14="N/A")</formula>
    </cfRule>
  </conditionalFormatting>
  <conditionalFormatting sqref="D13:F13">
    <cfRule type="expression" dxfId="39" priority="11">
      <formula>OR($C$13="No",$C$13="N/A")</formula>
    </cfRule>
  </conditionalFormatting>
  <conditionalFormatting sqref="D15:F15">
    <cfRule type="expression" dxfId="38" priority="9">
      <formula>OR($C$15="No",$C$15="N/A")</formula>
    </cfRule>
  </conditionalFormatting>
  <conditionalFormatting sqref="D16:F16">
    <cfRule type="expression" dxfId="37" priority="8">
      <formula>OR($C$16="No",$C$16="N/A")</formula>
    </cfRule>
  </conditionalFormatting>
  <conditionalFormatting sqref="D17:F17">
    <cfRule type="expression" dxfId="36" priority="7">
      <formula>OR($C$17="No",$C$17="N/A")</formula>
    </cfRule>
  </conditionalFormatting>
  <conditionalFormatting sqref="F16:F17">
    <cfRule type="expression" dxfId="35" priority="6">
      <formula>OR($C$13="No",$C$13="N/A")</formula>
    </cfRule>
  </conditionalFormatting>
  <conditionalFormatting sqref="F16:F17">
    <cfRule type="expression" dxfId="34" priority="5">
      <formula>OR($C$13="No",$C$13="N/A")</formula>
    </cfRule>
  </conditionalFormatting>
  <conditionalFormatting sqref="E17">
    <cfRule type="expression" dxfId="33" priority="4">
      <formula>OR($C$16="No",$C$16="N/A")</formula>
    </cfRule>
  </conditionalFormatting>
  <conditionalFormatting sqref="E17">
    <cfRule type="expression" dxfId="32" priority="3">
      <formula>OR($C$16="No",$C$16="N/A")</formula>
    </cfRule>
  </conditionalFormatting>
  <conditionalFormatting sqref="F17">
    <cfRule type="expression" dxfId="31" priority="2">
      <formula>OR($C$16="No",$C$16="N/A")</formula>
    </cfRule>
  </conditionalFormatting>
  <conditionalFormatting sqref="F17">
    <cfRule type="expression" dxfId="30" priority="1">
      <formula>OR($C$16="No",$C$16="N/A")</formula>
    </cfRule>
  </conditionalFormatting>
  <dataValidations count="5">
    <dataValidation type="date" showInputMessage="1" showErrorMessage="1" promptTitle="Fecha de Generacion del Reporte" prompt="Indique la fecha en que genera o Elabora este reporte de Usuarios Activos  No Abogados" sqref="D9" xr:uid="{00000000-0002-0000-0100-000000000000}">
      <formula1>44580</formula1>
      <formula2>44642</formula2>
    </dataValidation>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D12:D17 F12:F17" xr:uid="{00000000-0002-0000-0100-000001000000}">
      <formula1>40544</formula1>
      <formula2>44651</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2000000}">
      <formula1>$T$7:$T$9</formula1>
    </dataValidation>
    <dataValidation showInputMessage="1" showErrorMessage="1" sqref="E12 E14:E17" xr:uid="{00000000-0002-0000-0100-000003000000}"/>
    <dataValidation showInputMessage="1" showErrorMessage="1" errorTitle="Fecha invalida" error="La fecha debe estar entre el 01/01/2011 y el 31/03/2022" sqref="E13" xr:uid="{00000000-0002-0000-0100-000004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6"/>
  <sheetViews>
    <sheetView showGridLines="0" topLeftCell="A7" zoomScale="91" zoomScaleNormal="91" workbookViewId="0">
      <selection activeCell="C22" sqref="C22:G25"/>
    </sheetView>
  </sheetViews>
  <sheetFormatPr baseColWidth="10"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5</v>
      </c>
    </row>
    <row r="4" spans="2:22" x14ac:dyDescent="0.25">
      <c r="B4" s="14"/>
      <c r="C4" s="15"/>
      <c r="D4" s="15"/>
      <c r="E4" s="15"/>
      <c r="F4" s="15"/>
      <c r="G4" s="15"/>
      <c r="H4" s="16"/>
    </row>
    <row r="5" spans="2:22" x14ac:dyDescent="0.25">
      <c r="B5" s="14"/>
      <c r="C5" s="15"/>
      <c r="D5" s="15" t="s">
        <v>148</v>
      </c>
      <c r="E5" s="15"/>
      <c r="F5" s="15"/>
      <c r="G5" s="15"/>
      <c r="H5" s="16"/>
    </row>
    <row r="6" spans="2:22" ht="15" customHeight="1" x14ac:dyDescent="0.25">
      <c r="B6" s="14"/>
      <c r="C6" s="27"/>
      <c r="D6" s="27"/>
      <c r="E6" s="27"/>
      <c r="G6" s="32"/>
      <c r="H6" s="33"/>
    </row>
    <row r="7" spans="2:22" ht="17.25" customHeight="1" x14ac:dyDescent="0.35">
      <c r="B7" s="14"/>
      <c r="C7" s="20" t="s">
        <v>111</v>
      </c>
      <c r="D7" s="79">
        <v>44629</v>
      </c>
      <c r="E7" s="26"/>
      <c r="F7" s="104" t="str">
        <f>"Seleccione una muestra de "&amp;V3&amp;" abogados activos y complete la siguiente tabla"</f>
        <v>Seleccione una muestra de 5 abogados activos y complete la siguiente tabla</v>
      </c>
      <c r="G7" s="105"/>
      <c r="H7" s="33"/>
    </row>
    <row r="8" spans="2:22" x14ac:dyDescent="0.25">
      <c r="B8" s="14"/>
      <c r="D8" s="15"/>
      <c r="E8" s="15"/>
      <c r="F8" s="106"/>
      <c r="G8" s="107"/>
      <c r="H8" s="16"/>
      <c r="T8" s="1" t="s">
        <v>13</v>
      </c>
    </row>
    <row r="9" spans="2:22" ht="23.25" x14ac:dyDescent="0.25">
      <c r="B9" s="14"/>
      <c r="C9" s="34" t="s">
        <v>149</v>
      </c>
      <c r="E9" s="6"/>
      <c r="F9" s="24" t="s">
        <v>98</v>
      </c>
      <c r="G9" s="24" t="s">
        <v>19</v>
      </c>
      <c r="H9" s="16"/>
      <c r="T9" s="1" t="s">
        <v>14</v>
      </c>
    </row>
    <row r="10" spans="2:22" x14ac:dyDescent="0.25">
      <c r="B10" s="14"/>
      <c r="C10" s="23" t="s">
        <v>150</v>
      </c>
      <c r="D10" s="23" t="s">
        <v>23</v>
      </c>
      <c r="E10" s="6"/>
      <c r="F10" s="20" t="s">
        <v>95</v>
      </c>
      <c r="G10" s="78">
        <v>2</v>
      </c>
      <c r="H10" s="16"/>
    </row>
    <row r="11" spans="2:22" x14ac:dyDescent="0.25">
      <c r="B11" s="14"/>
      <c r="C11" s="20" t="s">
        <v>21</v>
      </c>
      <c r="D11" s="78">
        <v>2</v>
      </c>
      <c r="E11" s="6"/>
      <c r="F11" s="20" t="s">
        <v>96</v>
      </c>
      <c r="G11" s="78">
        <v>1</v>
      </c>
      <c r="H11" s="16"/>
    </row>
    <row r="12" spans="2:22" x14ac:dyDescent="0.25">
      <c r="B12" s="14"/>
      <c r="C12" s="20" t="s">
        <v>22</v>
      </c>
      <c r="D12" s="78">
        <v>5</v>
      </c>
      <c r="E12" s="6"/>
      <c r="F12" s="20" t="s">
        <v>97</v>
      </c>
      <c r="G12" s="78">
        <v>2</v>
      </c>
      <c r="H12" s="16"/>
    </row>
    <row r="13" spans="2:22" x14ac:dyDescent="0.25">
      <c r="B13" s="14"/>
      <c r="C13" s="20" t="s">
        <v>26</v>
      </c>
      <c r="D13" s="78">
        <v>2</v>
      </c>
      <c r="E13" s="6"/>
      <c r="F13" s="52" t="s">
        <v>103</v>
      </c>
      <c r="G13" s="51"/>
      <c r="H13" s="16"/>
    </row>
    <row r="14" spans="2:22" x14ac:dyDescent="0.25">
      <c r="B14" s="14"/>
      <c r="E14" s="6"/>
      <c r="F14" s="53" t="s">
        <v>104</v>
      </c>
      <c r="G14" s="54"/>
      <c r="H14" s="16"/>
    </row>
    <row r="15" spans="2:22" x14ac:dyDescent="0.25">
      <c r="B15" s="14"/>
      <c r="E15" s="6"/>
      <c r="H15" s="16"/>
    </row>
    <row r="16" spans="2:22" x14ac:dyDescent="0.25">
      <c r="B16" s="14"/>
      <c r="C16" s="23" t="s">
        <v>24</v>
      </c>
      <c r="D16" s="23" t="s">
        <v>23</v>
      </c>
      <c r="E16" s="6"/>
      <c r="F16" s="24" t="s">
        <v>107</v>
      </c>
      <c r="G16" s="24" t="s">
        <v>19</v>
      </c>
      <c r="H16" s="16"/>
    </row>
    <row r="17" spans="2:8" x14ac:dyDescent="0.25">
      <c r="B17" s="14"/>
      <c r="C17" s="20" t="s">
        <v>175</v>
      </c>
      <c r="D17" s="78">
        <v>0</v>
      </c>
      <c r="E17" s="6"/>
      <c r="F17" s="20" t="s">
        <v>110</v>
      </c>
      <c r="G17" s="78">
        <v>2</v>
      </c>
      <c r="H17" s="16"/>
    </row>
    <row r="18" spans="2:8" x14ac:dyDescent="0.25">
      <c r="B18" s="14"/>
      <c r="C18" s="20" t="s">
        <v>176</v>
      </c>
      <c r="D18" s="78">
        <v>0</v>
      </c>
      <c r="E18" s="6"/>
      <c r="F18" s="49" t="s">
        <v>80</v>
      </c>
      <c r="G18" s="78">
        <v>0</v>
      </c>
      <c r="H18" s="16"/>
    </row>
    <row r="19" spans="2:8" x14ac:dyDescent="0.25">
      <c r="B19" s="14"/>
      <c r="C19" s="59"/>
      <c r="E19" s="6"/>
      <c r="F19" s="20" t="s">
        <v>100</v>
      </c>
      <c r="G19" s="78">
        <v>0</v>
      </c>
      <c r="H19" s="16"/>
    </row>
    <row r="20" spans="2:8" x14ac:dyDescent="0.25">
      <c r="B20" s="14"/>
      <c r="C20" s="59"/>
      <c r="E20" s="6"/>
      <c r="F20" s="20" t="s">
        <v>25</v>
      </c>
      <c r="G20" s="78">
        <v>0</v>
      </c>
      <c r="H20" s="16"/>
    </row>
    <row r="21" spans="2:8" x14ac:dyDescent="0.25">
      <c r="B21" s="14"/>
      <c r="C21" s="82" t="s">
        <v>99</v>
      </c>
      <c r="D21" s="83"/>
      <c r="E21" s="84"/>
      <c r="F21" s="86"/>
      <c r="G21" s="86"/>
      <c r="H21" s="85"/>
    </row>
    <row r="22" spans="2:8" x14ac:dyDescent="0.25">
      <c r="B22" s="14"/>
      <c r="C22" s="108" t="s">
        <v>189</v>
      </c>
      <c r="D22" s="109"/>
      <c r="E22" s="109"/>
      <c r="F22" s="109"/>
      <c r="G22" s="110"/>
      <c r="H22" s="16"/>
    </row>
    <row r="23" spans="2:8" x14ac:dyDescent="0.25">
      <c r="B23" s="14"/>
      <c r="C23" s="111"/>
      <c r="D23" s="112"/>
      <c r="E23" s="112"/>
      <c r="F23" s="112"/>
      <c r="G23" s="113"/>
      <c r="H23" s="16"/>
    </row>
    <row r="24" spans="2:8" x14ac:dyDescent="0.25">
      <c r="B24" s="14"/>
      <c r="C24" s="111"/>
      <c r="D24" s="112"/>
      <c r="E24" s="112"/>
      <c r="F24" s="112"/>
      <c r="G24" s="113"/>
      <c r="H24" s="16"/>
    </row>
    <row r="25" spans="2:8" x14ac:dyDescent="0.25">
      <c r="B25" s="14"/>
      <c r="C25" s="114"/>
      <c r="D25" s="115"/>
      <c r="E25" s="115"/>
      <c r="F25" s="115"/>
      <c r="G25" s="116"/>
      <c r="H25" s="16"/>
    </row>
    <row r="26" spans="2:8" ht="15.75" thickBot="1" x14ac:dyDescent="0.3">
      <c r="B26" s="17"/>
      <c r="C26" s="18"/>
      <c r="D26" s="18"/>
      <c r="E26" s="18"/>
      <c r="F26" s="18"/>
      <c r="G26" s="18"/>
      <c r="H26" s="19"/>
    </row>
  </sheetData>
  <sheetProtection algorithmName="SHA-512" hashValue="9NwfrAZwwCCqcnmjgItUn7cSCgEOM1RfPFDCS/YBNTlj50wGzL24n1SYV7L5mQM/ZmVrcd+lsAQ/bVkRaodCXg==" saltValue="DgJkwMDcocd3A27+7ly9aA==" spinCount="100000" sheet="1" objects="1" scenarios="1"/>
  <mergeCells count="2">
    <mergeCell ref="F7:G8"/>
    <mergeCell ref="C22:G25"/>
  </mergeCells>
  <conditionalFormatting sqref="D11:D13">
    <cfRule type="containsBlanks" dxfId="29" priority="13">
      <formula>LEN(TRIM(D11))=0</formula>
    </cfRule>
  </conditionalFormatting>
  <conditionalFormatting sqref="C22">
    <cfRule type="containsBlanks" dxfId="28" priority="9">
      <formula>LEN(TRIM(C22))=0</formula>
    </cfRule>
  </conditionalFormatting>
  <conditionalFormatting sqref="D17:D18">
    <cfRule type="containsBlanks" dxfId="27" priority="5">
      <formula>LEN(TRIM(D17))=0</formula>
    </cfRule>
  </conditionalFormatting>
  <conditionalFormatting sqref="G10:G12">
    <cfRule type="containsBlanks" dxfId="26" priority="4">
      <formula>LEN(TRIM(G10))=0</formula>
    </cfRule>
  </conditionalFormatting>
  <conditionalFormatting sqref="G17:G20">
    <cfRule type="containsBlanks" dxfId="25" priority="3">
      <formula>LEN(TRIM(G17))=0</formula>
    </cfRule>
  </conditionalFormatting>
  <conditionalFormatting sqref="D7">
    <cfRule type="containsBlanks" dxfId="24" priority="1">
      <formula>LEN(TRIM(D7))=0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D7" xr:uid="{00000000-0002-0000-0200-000001000000}">
      <formula1>44580</formula1>
      <formula2>44642</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tabSelected="1" zoomScale="69" zoomScaleNormal="69" workbookViewId="0">
      <selection activeCell="D20" sqref="D20"/>
    </sheetView>
  </sheetViews>
  <sheetFormatPr baseColWidth="10" defaultRowHeight="15" x14ac:dyDescent="0.25"/>
  <cols>
    <col min="1" max="1" width="3.85546875" style="1" customWidth="1"/>
    <col min="2" max="2" width="11.42578125" style="1"/>
    <col min="3" max="3" width="67.42578125" style="1" customWidth="1"/>
    <col min="4" max="4" width="15.28515625" style="1" customWidth="1"/>
    <col min="5" max="5" width="6.28515625" style="1" customWidth="1"/>
    <col min="6" max="6" width="63.5703125" style="1" customWidth="1"/>
    <col min="7" max="7" width="16.8554687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0</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22" t="s">
        <v>68</v>
      </c>
      <c r="D6" s="122"/>
      <c r="E6" s="122"/>
      <c r="F6" s="122"/>
      <c r="G6" s="122"/>
      <c r="H6" s="122"/>
      <c r="I6" s="33"/>
    </row>
    <row r="7" spans="2:23" x14ac:dyDescent="0.25">
      <c r="B7" s="14"/>
      <c r="C7" s="15"/>
      <c r="D7" s="27"/>
      <c r="E7" s="81" t="s">
        <v>148</v>
      </c>
      <c r="F7" s="27"/>
      <c r="G7" s="15"/>
      <c r="H7" s="15"/>
      <c r="I7" s="16"/>
      <c r="U7" s="1" t="s">
        <v>13</v>
      </c>
    </row>
    <row r="8" spans="2:23" x14ac:dyDescent="0.25">
      <c r="B8" s="14"/>
      <c r="C8" s="23" t="s">
        <v>111</v>
      </c>
      <c r="D8" s="79">
        <v>44629</v>
      </c>
      <c r="E8" s="6"/>
      <c r="F8" s="37" t="s">
        <v>106</v>
      </c>
      <c r="G8" s="37" t="s">
        <v>18</v>
      </c>
      <c r="H8" s="15"/>
      <c r="I8" s="16"/>
      <c r="U8" s="1" t="s">
        <v>14</v>
      </c>
    </row>
    <row r="9" spans="2:23" x14ac:dyDescent="0.25">
      <c r="B9" s="14"/>
      <c r="E9" s="6"/>
      <c r="F9" s="20" t="s">
        <v>27</v>
      </c>
      <c r="G9" s="78">
        <v>1</v>
      </c>
      <c r="H9" s="15"/>
      <c r="I9" s="16"/>
    </row>
    <row r="10" spans="2:23" x14ac:dyDescent="0.25">
      <c r="B10" s="14"/>
      <c r="C10" s="23" t="s">
        <v>151</v>
      </c>
      <c r="D10" s="23" t="s">
        <v>23</v>
      </c>
      <c r="E10" s="6"/>
      <c r="F10" s="20" t="s">
        <v>60</v>
      </c>
      <c r="G10" s="78">
        <v>1</v>
      </c>
      <c r="H10" s="15"/>
      <c r="I10" s="16"/>
    </row>
    <row r="11" spans="2:23" x14ac:dyDescent="0.25">
      <c r="B11" s="14"/>
      <c r="C11" s="20" t="s">
        <v>28</v>
      </c>
      <c r="D11" s="78">
        <v>8</v>
      </c>
      <c r="E11" s="6"/>
      <c r="F11" s="20" t="s">
        <v>83</v>
      </c>
      <c r="G11" s="78">
        <v>1</v>
      </c>
      <c r="H11" s="15"/>
      <c r="I11" s="16"/>
    </row>
    <row r="12" spans="2:23" x14ac:dyDescent="0.25">
      <c r="B12" s="14"/>
      <c r="C12" s="20" t="s">
        <v>29</v>
      </c>
      <c r="D12" s="78">
        <v>10</v>
      </c>
      <c r="E12" s="6"/>
      <c r="F12" s="38" t="s">
        <v>158</v>
      </c>
      <c r="I12" s="16"/>
    </row>
    <row r="13" spans="2:23" x14ac:dyDescent="0.25">
      <c r="B13" s="14"/>
      <c r="C13" s="20" t="s">
        <v>81</v>
      </c>
      <c r="D13" s="78">
        <v>1</v>
      </c>
      <c r="E13" s="6"/>
      <c r="F13" s="38" t="s">
        <v>84</v>
      </c>
      <c r="I13" s="16"/>
    </row>
    <row r="14" spans="2:23" x14ac:dyDescent="0.25">
      <c r="B14" s="14"/>
      <c r="C14" s="38" t="s">
        <v>152</v>
      </c>
      <c r="E14" s="6"/>
      <c r="F14" s="24" t="s">
        <v>33</v>
      </c>
      <c r="G14" s="24" t="s">
        <v>23</v>
      </c>
      <c r="I14" s="16"/>
    </row>
    <row r="15" spans="2:23" x14ac:dyDescent="0.25">
      <c r="B15" s="14"/>
      <c r="C15" s="23" t="s">
        <v>153</v>
      </c>
      <c r="D15" s="23" t="s">
        <v>23</v>
      </c>
      <c r="E15" s="6"/>
      <c r="F15" s="20" t="s">
        <v>159</v>
      </c>
      <c r="G15" s="78">
        <v>6</v>
      </c>
      <c r="I15" s="16"/>
    </row>
    <row r="16" spans="2:23" x14ac:dyDescent="0.25">
      <c r="B16" s="14"/>
      <c r="C16" s="20" t="s">
        <v>154</v>
      </c>
      <c r="D16" s="78">
        <v>3</v>
      </c>
      <c r="E16" s="6"/>
      <c r="F16" s="20" t="s">
        <v>160</v>
      </c>
      <c r="G16" s="78">
        <v>3</v>
      </c>
      <c r="H16" s="15"/>
      <c r="I16" s="16"/>
    </row>
    <row r="17" spans="2:9" x14ac:dyDescent="0.25">
      <c r="B17" s="14"/>
      <c r="C17" s="20" t="s">
        <v>155</v>
      </c>
      <c r="D17" s="78">
        <v>0</v>
      </c>
      <c r="E17" s="6"/>
      <c r="F17" s="20" t="s">
        <v>161</v>
      </c>
      <c r="G17" s="78">
        <v>2</v>
      </c>
      <c r="H17" s="15"/>
      <c r="I17" s="16"/>
    </row>
    <row r="18" spans="2:9" x14ac:dyDescent="0.25">
      <c r="B18" s="14"/>
      <c r="C18" s="38" t="s">
        <v>113</v>
      </c>
      <c r="E18" s="6"/>
      <c r="F18" s="20" t="s">
        <v>35</v>
      </c>
      <c r="G18" s="78">
        <v>1</v>
      </c>
      <c r="H18" s="15"/>
      <c r="I18" s="16"/>
    </row>
    <row r="19" spans="2:9" x14ac:dyDescent="0.25">
      <c r="B19" s="14"/>
      <c r="E19" s="6"/>
      <c r="H19" s="15"/>
      <c r="I19" s="16"/>
    </row>
    <row r="20" spans="2:9" ht="29.25" customHeight="1" x14ac:dyDescent="0.25">
      <c r="B20" s="14"/>
      <c r="C20" s="50" t="s">
        <v>32</v>
      </c>
      <c r="D20" s="50" t="s">
        <v>23</v>
      </c>
      <c r="E20" s="6"/>
      <c r="F20" s="39" t="s">
        <v>105</v>
      </c>
      <c r="G20" s="39" t="s">
        <v>163</v>
      </c>
      <c r="H20" s="40" t="s">
        <v>67</v>
      </c>
      <c r="I20" s="16"/>
    </row>
    <row r="21" spans="2:9" x14ac:dyDescent="0.25">
      <c r="B21" s="14"/>
      <c r="C21" s="60" t="s">
        <v>156</v>
      </c>
      <c r="D21" s="78">
        <v>11</v>
      </c>
      <c r="E21" s="6"/>
      <c r="F21" s="20" t="s">
        <v>63</v>
      </c>
      <c r="G21" s="78">
        <v>1</v>
      </c>
      <c r="H21" s="78">
        <v>0</v>
      </c>
      <c r="I21" s="16"/>
    </row>
    <row r="22" spans="2:9" ht="15" customHeight="1" x14ac:dyDescent="0.25">
      <c r="B22" s="14"/>
      <c r="C22" s="60" t="s">
        <v>82</v>
      </c>
      <c r="D22" s="78">
        <v>0</v>
      </c>
      <c r="E22" s="6"/>
      <c r="F22" s="20" t="s">
        <v>64</v>
      </c>
      <c r="G22" s="78">
        <v>4</v>
      </c>
      <c r="H22" s="78">
        <v>3</v>
      </c>
      <c r="I22" s="16"/>
    </row>
    <row r="23" spans="2:9" ht="24.75" x14ac:dyDescent="0.25">
      <c r="B23" s="14"/>
      <c r="C23" s="66" t="s">
        <v>157</v>
      </c>
      <c r="D23" s="66"/>
      <c r="E23" s="6"/>
      <c r="F23" s="20" t="s">
        <v>65</v>
      </c>
      <c r="G23" s="78">
        <v>0</v>
      </c>
      <c r="H23" s="78">
        <v>0</v>
      </c>
      <c r="I23" s="16"/>
    </row>
    <row r="24" spans="2:9" x14ac:dyDescent="0.25">
      <c r="B24" s="14"/>
      <c r="C24" s="15"/>
      <c r="E24" s="6"/>
      <c r="F24" s="20" t="s">
        <v>66</v>
      </c>
      <c r="G24" s="78">
        <v>0</v>
      </c>
      <c r="H24" s="78">
        <v>0</v>
      </c>
      <c r="I24" s="16"/>
    </row>
    <row r="25" spans="2:9" ht="30" customHeight="1" x14ac:dyDescent="0.25">
      <c r="B25" s="14"/>
      <c r="C25" s="68" t="str">
        <f>"Seleccione "&amp;W3&amp;" procesos teminados en el  segundo semestre de 2021 y llene la siguiente tabla:"</f>
        <v>Seleccione 0 procesos teminados en el  segundo semestre de 2021 y llene la siguiente tabla:</v>
      </c>
      <c r="D25" s="63"/>
      <c r="E25" s="6"/>
      <c r="F25" s="123" t="s">
        <v>162</v>
      </c>
      <c r="G25" s="123"/>
      <c r="H25" s="123"/>
      <c r="I25" s="16"/>
    </row>
    <row r="26" spans="2:9" ht="15.75" thickBot="1" x14ac:dyDescent="0.3">
      <c r="B26" s="14"/>
      <c r="C26" s="64"/>
      <c r="D26" s="65"/>
      <c r="E26" s="6"/>
      <c r="F26" s="61"/>
      <c r="G26" s="15"/>
      <c r="H26" s="15"/>
      <c r="I26" s="16"/>
    </row>
    <row r="27" spans="2:9" x14ac:dyDescent="0.25">
      <c r="B27" s="14"/>
      <c r="C27" s="50" t="s">
        <v>93</v>
      </c>
      <c r="D27" s="50" t="s">
        <v>23</v>
      </c>
      <c r="E27" s="6"/>
      <c r="F27" s="117" t="s">
        <v>92</v>
      </c>
      <c r="G27" s="118"/>
      <c r="H27" s="119"/>
      <c r="I27" s="16"/>
    </row>
    <row r="28" spans="2:9" x14ac:dyDescent="0.25">
      <c r="B28" s="14"/>
      <c r="C28" s="20" t="s">
        <v>85</v>
      </c>
      <c r="D28" s="78">
        <v>0</v>
      </c>
      <c r="E28" s="6"/>
      <c r="F28" s="120" t="s">
        <v>190</v>
      </c>
      <c r="G28" s="121"/>
      <c r="H28" s="121"/>
      <c r="I28" s="16"/>
    </row>
    <row r="29" spans="2:9" x14ac:dyDescent="0.25">
      <c r="B29" s="14"/>
      <c r="C29" s="20" t="s">
        <v>86</v>
      </c>
      <c r="D29" s="78">
        <v>0</v>
      </c>
      <c r="E29" s="6"/>
      <c r="F29" s="121"/>
      <c r="G29" s="121"/>
      <c r="H29" s="121"/>
      <c r="I29" s="16"/>
    </row>
    <row r="30" spans="2:9" x14ac:dyDescent="0.25">
      <c r="B30" s="14"/>
      <c r="C30" s="20" t="s">
        <v>87</v>
      </c>
      <c r="D30" s="78">
        <v>0</v>
      </c>
      <c r="E30" s="6"/>
      <c r="F30" s="121"/>
      <c r="G30" s="121"/>
      <c r="H30" s="121"/>
      <c r="I30" s="16"/>
    </row>
    <row r="31" spans="2:9" x14ac:dyDescent="0.25">
      <c r="B31" s="14"/>
      <c r="C31" s="20" t="s">
        <v>88</v>
      </c>
      <c r="D31" s="78">
        <v>0</v>
      </c>
      <c r="E31" s="6"/>
      <c r="F31" s="121"/>
      <c r="G31" s="121"/>
      <c r="H31" s="121"/>
      <c r="I31" s="16"/>
    </row>
    <row r="32" spans="2:9" x14ac:dyDescent="0.25">
      <c r="B32" s="14"/>
      <c r="C32" s="20" t="s">
        <v>89</v>
      </c>
      <c r="D32" s="78">
        <v>0</v>
      </c>
      <c r="E32" s="6"/>
      <c r="F32" s="121"/>
      <c r="G32" s="121"/>
      <c r="H32" s="121"/>
      <c r="I32" s="16"/>
    </row>
    <row r="33" spans="2:9" x14ac:dyDescent="0.25">
      <c r="B33" s="14"/>
      <c r="C33" s="15"/>
      <c r="E33" s="6"/>
      <c r="F33" s="121"/>
      <c r="G33" s="121"/>
      <c r="H33" s="121"/>
      <c r="I33" s="16"/>
    </row>
    <row r="34" spans="2:9" ht="15.75" thickBot="1" x14ac:dyDescent="0.3">
      <c r="B34" s="17"/>
      <c r="C34" s="18"/>
      <c r="D34" s="18"/>
      <c r="E34" s="18"/>
      <c r="F34" s="18"/>
      <c r="G34" s="18"/>
      <c r="H34" s="18"/>
      <c r="I34" s="19"/>
    </row>
  </sheetData>
  <sheetProtection algorithmName="SHA-512" hashValue="XBF41nNb+oM9W4bsjhJQYEs62RY6vNKkdxY+QBvLebA6UVCX8pT0VcHFlVGR/BBGTTD/NcRUs/vA7RtnYQti/A==" saltValue="pMXht+w1d5Ih1rsoRXgsFQ==" spinCount="100000" sheet="1" objects="1" scenarios="1"/>
  <mergeCells count="4">
    <mergeCell ref="F27:H27"/>
    <mergeCell ref="F28:H33"/>
    <mergeCell ref="C6:H6"/>
    <mergeCell ref="F25:H25"/>
  </mergeCells>
  <conditionalFormatting sqref="D8">
    <cfRule type="containsBlanks" dxfId="23" priority="11">
      <formula>LEN(TRIM(D8))=0</formula>
    </cfRule>
  </conditionalFormatting>
  <conditionalFormatting sqref="D11">
    <cfRule type="containsBlanks" dxfId="22" priority="10">
      <formula>LEN(TRIM(D11))=0</formula>
    </cfRule>
  </conditionalFormatting>
  <conditionalFormatting sqref="D12:D13">
    <cfRule type="containsBlanks" dxfId="21" priority="9">
      <formula>LEN(TRIM(D12))=0</formula>
    </cfRule>
  </conditionalFormatting>
  <conditionalFormatting sqref="D16:D17">
    <cfRule type="containsBlanks" dxfId="20" priority="8">
      <formula>LEN(TRIM(D16))=0</formula>
    </cfRule>
  </conditionalFormatting>
  <conditionalFormatting sqref="D21:D22">
    <cfRule type="containsBlanks" dxfId="19" priority="7">
      <formula>LEN(TRIM(D21))=0</formula>
    </cfRule>
  </conditionalFormatting>
  <conditionalFormatting sqref="D28:D32">
    <cfRule type="containsBlanks" dxfId="18" priority="6">
      <formula>LEN(TRIM(D28))=0</formula>
    </cfRule>
  </conditionalFormatting>
  <conditionalFormatting sqref="G9">
    <cfRule type="containsBlanks" dxfId="17" priority="5">
      <formula>LEN(TRIM(G9))=0</formula>
    </cfRule>
  </conditionalFormatting>
  <conditionalFormatting sqref="G10:G11">
    <cfRule type="containsBlanks" dxfId="16" priority="4">
      <formula>LEN(TRIM(G10))=0</formula>
    </cfRule>
  </conditionalFormatting>
  <conditionalFormatting sqref="G15:G18">
    <cfRule type="containsBlanks" dxfId="15" priority="3">
      <formula>LEN(TRIM(G15))=0</formula>
    </cfRule>
  </conditionalFormatting>
  <conditionalFormatting sqref="G21:H24">
    <cfRule type="containsBlanks" dxfId="14" priority="2">
      <formula>LEN(TRIM(G21))=0</formula>
    </cfRule>
  </conditionalFormatting>
  <conditionalFormatting sqref="F28">
    <cfRule type="containsBlanks" dxfId="13" priority="1">
      <formula>LEN(TRIM(F28))=0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44580</formula1>
      <formula2>44642</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topLeftCell="A7" workbookViewId="0">
      <selection activeCell="F17" sqref="F17:G22"/>
    </sheetView>
  </sheetViews>
  <sheetFormatPr baseColWidth="10" defaultRowHeight="15" x14ac:dyDescent="0.25"/>
  <cols>
    <col min="1" max="1" width="3.85546875" style="1" customWidth="1"/>
    <col min="2" max="2" width="11.42578125" style="1"/>
    <col min="3" max="3" width="50.855468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0</v>
      </c>
    </row>
    <row r="3" spans="2:22" x14ac:dyDescent="0.25">
      <c r="B3" s="14"/>
      <c r="C3" s="15"/>
      <c r="D3" s="15"/>
      <c r="E3" s="15"/>
      <c r="F3" s="15"/>
      <c r="G3" s="15"/>
      <c r="H3" s="16"/>
      <c r="V3" s="28">
        <f>+IF(V2&lt;=20,V2,IF(ROUNDDOWN(V2*10%,0)&lt;20,20,ROUNDDOWN(V2*10%,0)))</f>
        <v>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22" t="s">
        <v>177</v>
      </c>
      <c r="D7" s="122"/>
      <c r="E7" s="122"/>
      <c r="F7" s="122"/>
      <c r="G7" s="122"/>
      <c r="H7" s="33"/>
    </row>
    <row r="8" spans="2:22" x14ac:dyDescent="0.25">
      <c r="B8" s="14"/>
      <c r="C8" s="15"/>
      <c r="D8" s="15"/>
      <c r="E8" s="89" t="s">
        <v>148</v>
      </c>
      <c r="H8" s="16"/>
      <c r="T8" s="1" t="s">
        <v>13</v>
      </c>
    </row>
    <row r="9" spans="2:22" ht="15" customHeight="1" x14ac:dyDescent="0.25">
      <c r="B9" s="14"/>
      <c r="C9" s="23" t="s">
        <v>178</v>
      </c>
      <c r="D9" s="23" t="s">
        <v>23</v>
      </c>
      <c r="E9" s="6"/>
      <c r="F9" s="104" t="str">
        <f>"Seleccione una muestra de "&amp;V3&amp;" prejudiciales activos registrados antes de 1 de julio de 2021 y complete la siguiente tabla"</f>
        <v>Seleccione una muestra de 0 prejudiciales activos registrados antes de 1 de julio de 2021 y complete la siguiente tabla</v>
      </c>
      <c r="G9" s="105"/>
      <c r="H9" s="16"/>
      <c r="T9" s="1" t="s">
        <v>14</v>
      </c>
    </row>
    <row r="10" spans="2:22" x14ac:dyDescent="0.25">
      <c r="B10" s="14"/>
      <c r="C10" s="20" t="s">
        <v>54</v>
      </c>
      <c r="D10" s="78">
        <v>0</v>
      </c>
      <c r="E10" s="6"/>
      <c r="F10" s="106"/>
      <c r="G10" s="107"/>
      <c r="H10" s="16"/>
    </row>
    <row r="11" spans="2:22" x14ac:dyDescent="0.25">
      <c r="B11" s="14"/>
      <c r="C11" s="20" t="s">
        <v>55</v>
      </c>
      <c r="D11" s="78">
        <v>0</v>
      </c>
      <c r="E11" s="6"/>
      <c r="F11" s="24" t="s">
        <v>32</v>
      </c>
      <c r="G11" s="24" t="s">
        <v>57</v>
      </c>
      <c r="H11" s="16"/>
    </row>
    <row r="12" spans="2:22" x14ac:dyDescent="0.25">
      <c r="B12" s="14"/>
      <c r="C12" s="20" t="s">
        <v>164</v>
      </c>
      <c r="D12" s="78">
        <v>0</v>
      </c>
      <c r="E12" s="6"/>
      <c r="F12" s="36" t="s">
        <v>58</v>
      </c>
      <c r="G12" s="78">
        <v>0</v>
      </c>
      <c r="H12" s="16"/>
    </row>
    <row r="13" spans="2:22" x14ac:dyDescent="0.25">
      <c r="B13" s="14"/>
      <c r="C13" s="20" t="s">
        <v>181</v>
      </c>
      <c r="D13" s="78">
        <v>0</v>
      </c>
      <c r="E13" s="6"/>
      <c r="F13" s="20" t="s">
        <v>180</v>
      </c>
      <c r="G13" s="78">
        <v>0</v>
      </c>
      <c r="H13" s="16"/>
    </row>
    <row r="14" spans="2:22" x14ac:dyDescent="0.25">
      <c r="B14" s="14"/>
      <c r="C14" s="20" t="s">
        <v>165</v>
      </c>
      <c r="D14" s="78">
        <v>0</v>
      </c>
      <c r="E14" s="6"/>
      <c r="F14"/>
      <c r="G14"/>
      <c r="H14" s="16"/>
    </row>
    <row r="15" spans="2:22" x14ac:dyDescent="0.25">
      <c r="B15" s="14"/>
      <c r="E15" s="6"/>
      <c r="F15"/>
      <c r="G15"/>
      <c r="H15" s="16"/>
    </row>
    <row r="16" spans="2:22" x14ac:dyDescent="0.25">
      <c r="B16" s="14"/>
      <c r="C16" s="23" t="s">
        <v>179</v>
      </c>
      <c r="D16" s="23" t="s">
        <v>23</v>
      </c>
      <c r="E16" s="6"/>
      <c r="F16" s="124" t="s">
        <v>92</v>
      </c>
      <c r="G16" s="124"/>
      <c r="H16" s="16"/>
    </row>
    <row r="17" spans="2:8" x14ac:dyDescent="0.25">
      <c r="B17" s="14"/>
      <c r="C17" s="20" t="s">
        <v>166</v>
      </c>
      <c r="D17" s="78">
        <v>0</v>
      </c>
      <c r="E17" s="6"/>
      <c r="F17" s="120" t="s">
        <v>187</v>
      </c>
      <c r="G17" s="121"/>
      <c r="H17" s="16"/>
    </row>
    <row r="18" spans="2:8" x14ac:dyDescent="0.25">
      <c r="B18" s="14"/>
      <c r="C18" s="20" t="s">
        <v>167</v>
      </c>
      <c r="D18" s="78">
        <v>0</v>
      </c>
      <c r="E18" s="6"/>
      <c r="F18" s="121"/>
      <c r="G18" s="121"/>
      <c r="H18" s="16"/>
    </row>
    <row r="19" spans="2:8" x14ac:dyDescent="0.25">
      <c r="B19" s="14"/>
      <c r="C19"/>
      <c r="D19"/>
      <c r="E19" s="6"/>
      <c r="F19" s="121"/>
      <c r="G19" s="121"/>
      <c r="H19" s="16"/>
    </row>
    <row r="20" spans="2:8" x14ac:dyDescent="0.25">
      <c r="B20" s="14"/>
      <c r="C20"/>
      <c r="D20"/>
      <c r="E20" s="6"/>
      <c r="F20" s="121"/>
      <c r="G20" s="121"/>
      <c r="H20" s="16"/>
    </row>
    <row r="21" spans="2:8" x14ac:dyDescent="0.25">
      <c r="B21" s="14"/>
      <c r="E21" s="6"/>
      <c r="F21" s="121"/>
      <c r="G21" s="121"/>
      <c r="H21" s="16"/>
    </row>
    <row r="22" spans="2:8" x14ac:dyDescent="0.25">
      <c r="B22" s="14"/>
      <c r="C22" s="15"/>
      <c r="D22" s="15"/>
      <c r="E22" s="6"/>
      <c r="F22" s="121"/>
      <c r="G22" s="121"/>
      <c r="H22" s="16"/>
    </row>
    <row r="23" spans="2:8" ht="15.75" thickBot="1" x14ac:dyDescent="0.3">
      <c r="B23" s="17"/>
      <c r="C23" s="18"/>
      <c r="D23" s="18"/>
      <c r="E23" s="18"/>
      <c r="F23" s="18"/>
      <c r="G23" s="18"/>
      <c r="H23" s="19"/>
    </row>
  </sheetData>
  <sheetProtection algorithmName="SHA-512" hashValue="RTxvkA/X6xl2+KfdbiHdJ6sbvecern8CNICPPfFAOQJxypM+eH9yXKnnLB3GHhoPJhALHrzKXVh8l3sCPJ2Idw==" saltValue="3APmjS7xF8RN9CH5Y9wtNw==" spinCount="100000" sheet="1" objects="1" scenarios="1"/>
  <mergeCells count="4">
    <mergeCell ref="F9:G10"/>
    <mergeCell ref="C7:G7"/>
    <mergeCell ref="F16:G16"/>
    <mergeCell ref="F17:G22"/>
  </mergeCells>
  <conditionalFormatting sqref="D10:D14">
    <cfRule type="containsBlanks" dxfId="12" priority="4">
      <formula>LEN(TRIM(D10))=0</formula>
    </cfRule>
  </conditionalFormatting>
  <conditionalFormatting sqref="D17:D18">
    <cfRule type="containsBlanks" dxfId="11" priority="3">
      <formula>LEN(TRIM(D17))=0</formula>
    </cfRule>
  </conditionalFormatting>
  <conditionalFormatting sqref="G12:G13">
    <cfRule type="containsBlanks" dxfId="10" priority="2">
      <formula>LEN(TRIM(G12))=0</formula>
    </cfRule>
  </conditionalFormatting>
  <conditionalFormatting sqref="F17">
    <cfRule type="containsBlanks" dxfId="9" priority="1">
      <formula>LEN(TRIM(F17))=0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topLeftCell="A4" workbookViewId="0">
      <selection activeCell="F12" sqref="F12"/>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70</v>
      </c>
      <c r="D6" s="35"/>
      <c r="E6" s="26"/>
      <c r="F6"/>
      <c r="G6"/>
      <c r="H6" s="33"/>
    </row>
    <row r="7" spans="2:22" x14ac:dyDescent="0.25">
      <c r="B7" s="14"/>
      <c r="C7" s="15" t="s">
        <v>148</v>
      </c>
      <c r="D7" s="15"/>
      <c r="E7" s="15"/>
      <c r="F7"/>
      <c r="G7"/>
      <c r="H7" s="16"/>
      <c r="T7" s="1" t="s">
        <v>13</v>
      </c>
    </row>
    <row r="8" spans="2:22" x14ac:dyDescent="0.25">
      <c r="B8" s="14"/>
      <c r="C8" s="23" t="s">
        <v>70</v>
      </c>
      <c r="D8" s="23" t="s">
        <v>23</v>
      </c>
      <c r="E8" s="6"/>
      <c r="F8" s="23" t="s">
        <v>70</v>
      </c>
      <c r="G8" s="23" t="s">
        <v>23</v>
      </c>
      <c r="H8" s="16"/>
      <c r="T8" s="1" t="s">
        <v>14</v>
      </c>
    </row>
    <row r="9" spans="2:22" x14ac:dyDescent="0.25">
      <c r="B9" s="14"/>
      <c r="C9" s="20" t="s">
        <v>168</v>
      </c>
      <c r="D9" s="78">
        <v>0</v>
      </c>
      <c r="E9" s="6"/>
      <c r="F9" s="20" t="s">
        <v>169</v>
      </c>
      <c r="G9" s="78">
        <v>0</v>
      </c>
      <c r="H9" s="16"/>
    </row>
    <row r="10" spans="2:22" x14ac:dyDescent="0.25">
      <c r="B10" s="14"/>
      <c r="C10" s="20" t="s">
        <v>72</v>
      </c>
      <c r="D10" s="78">
        <v>0</v>
      </c>
      <c r="E10" s="6"/>
      <c r="F10" s="20" t="s">
        <v>90</v>
      </c>
      <c r="G10" s="78">
        <v>0</v>
      </c>
      <c r="H10" s="16"/>
    </row>
    <row r="11" spans="2:22" x14ac:dyDescent="0.25">
      <c r="B11" s="14"/>
      <c r="C11" s="15"/>
      <c r="D11" s="55"/>
      <c r="E11" s="6"/>
      <c r="F11" s="15"/>
      <c r="G11" s="56"/>
      <c r="H11" s="16"/>
    </row>
    <row r="12" spans="2:22" x14ac:dyDescent="0.25">
      <c r="B12" s="14"/>
      <c r="C12" s="57" t="s">
        <v>94</v>
      </c>
      <c r="D12" s="55"/>
      <c r="E12" s="6"/>
      <c r="F12" s="15"/>
      <c r="G12" s="56"/>
      <c r="H12" s="16"/>
      <c r="T12" s="1">
        <f>IF(D9="",0,1)</f>
        <v>1</v>
      </c>
    </row>
    <row r="13" spans="2:22" x14ac:dyDescent="0.25">
      <c r="B13" s="14"/>
      <c r="C13" s="108" t="s">
        <v>186</v>
      </c>
      <c r="D13" s="109"/>
      <c r="E13" s="109"/>
      <c r="F13" s="109"/>
      <c r="G13" s="110"/>
      <c r="H13" s="16"/>
    </row>
    <row r="14" spans="2:22" x14ac:dyDescent="0.25">
      <c r="B14" s="14"/>
      <c r="C14" s="111"/>
      <c r="D14" s="112"/>
      <c r="E14" s="112"/>
      <c r="F14" s="112"/>
      <c r="G14" s="113"/>
      <c r="H14" s="16"/>
    </row>
    <row r="15" spans="2:22" x14ac:dyDescent="0.25">
      <c r="B15" s="14"/>
      <c r="C15" s="111"/>
      <c r="D15" s="112"/>
      <c r="E15" s="112"/>
      <c r="F15" s="112"/>
      <c r="G15" s="113"/>
      <c r="H15" s="16"/>
    </row>
    <row r="16" spans="2:22" x14ac:dyDescent="0.25">
      <c r="B16" s="14"/>
      <c r="C16" s="114"/>
      <c r="D16" s="115"/>
      <c r="E16" s="115"/>
      <c r="F16" s="115"/>
      <c r="G16" s="116"/>
      <c r="H16" s="16"/>
      <c r="T16" s="1">
        <f>IF(G9="",0,1)</f>
        <v>1</v>
      </c>
    </row>
    <row r="17" spans="2:20" ht="15.75" thickBot="1" x14ac:dyDescent="0.3">
      <c r="B17" s="17"/>
      <c r="C17" s="18"/>
      <c r="D17" s="18"/>
      <c r="E17" s="18"/>
      <c r="F17" s="18"/>
      <c r="G17" s="18"/>
      <c r="H17" s="19"/>
      <c r="T17" s="1">
        <f>+T12+T16</f>
        <v>2</v>
      </c>
    </row>
  </sheetData>
  <sheetProtection algorithmName="SHA-512" hashValue="6ZcsWdIGr0G8GN+aSGf97CECkSNgVAzqC6t9ixF98PlLneYYyrSdMnHt56kYG6UzNYLxxm5cHQZZfeu+4m80kQ==" saltValue="3tqLDwW1B4WLnP5vNc8k0w==" spinCount="100000" sheet="1"/>
  <mergeCells count="1">
    <mergeCell ref="C13:G16"/>
  </mergeCells>
  <conditionalFormatting sqref="C13">
    <cfRule type="containsBlanks" dxfId="8" priority="3">
      <formula>LEN(TRIM(C13))=0</formula>
    </cfRule>
  </conditionalFormatting>
  <conditionalFormatting sqref="D9:D10">
    <cfRule type="containsBlanks" dxfId="7" priority="2">
      <formula>LEN(TRIM(D9))=0</formula>
    </cfRule>
  </conditionalFormatting>
  <conditionalFormatting sqref="G9:G10">
    <cfRule type="containsBlanks" dxfId="6"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election activeCell="I10" sqref="I10"/>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22" t="s">
        <v>8</v>
      </c>
      <c r="D6" s="122"/>
      <c r="E6" s="26"/>
      <c r="F6"/>
      <c r="G6"/>
      <c r="H6" s="33"/>
      <c r="T6" s="1" t="s">
        <v>12</v>
      </c>
    </row>
    <row r="7" spans="2:22" x14ac:dyDescent="0.25">
      <c r="B7" s="14"/>
      <c r="C7" s="15" t="s">
        <v>148</v>
      </c>
      <c r="D7" s="15"/>
      <c r="E7" s="15"/>
      <c r="F7" s="58" t="s">
        <v>94</v>
      </c>
      <c r="G7"/>
      <c r="H7" s="16"/>
      <c r="T7" s="1" t="s">
        <v>13</v>
      </c>
    </row>
    <row r="8" spans="2:22" x14ac:dyDescent="0.25">
      <c r="B8" s="14"/>
      <c r="C8" s="23" t="s">
        <v>31</v>
      </c>
      <c r="D8" s="23" t="s">
        <v>23</v>
      </c>
      <c r="E8" s="6"/>
      <c r="F8" s="108" t="s">
        <v>186</v>
      </c>
      <c r="G8" s="110"/>
      <c r="H8" s="16"/>
      <c r="T8" s="1" t="s">
        <v>14</v>
      </c>
    </row>
    <row r="9" spans="2:22" x14ac:dyDescent="0.25">
      <c r="B9" s="14"/>
      <c r="C9" s="20" t="s">
        <v>74</v>
      </c>
      <c r="D9" s="78" t="s">
        <v>13</v>
      </c>
      <c r="E9" s="6"/>
      <c r="F9" s="111"/>
      <c r="G9" s="113"/>
      <c r="H9" s="16"/>
    </row>
    <row r="10" spans="2:22" x14ac:dyDescent="0.25">
      <c r="B10" s="14"/>
      <c r="C10" s="20" t="s">
        <v>173</v>
      </c>
      <c r="D10" s="78">
        <v>0</v>
      </c>
      <c r="E10" s="6"/>
      <c r="F10" s="114"/>
      <c r="G10" s="116"/>
      <c r="H10" s="16"/>
    </row>
    <row r="11" spans="2:22" ht="15.75" thickBot="1" x14ac:dyDescent="0.3">
      <c r="B11" s="17"/>
      <c r="C11" s="18"/>
      <c r="D11" s="18"/>
      <c r="E11" s="18"/>
      <c r="F11" s="18"/>
      <c r="G11" s="18"/>
      <c r="H11" s="19"/>
    </row>
  </sheetData>
  <sheetProtection algorithmName="SHA-512" hashValue="f23xZ8ZGez4/ugrRSeNHNSFC5P6zK3PlnV1v5jm/nMY208v20MkKx1TkUjozEjkoZyWA5UKJDdR01qKLB0dGmA==" saltValue="OkVslLPAPPXMYR5Z1l05zA==" spinCount="100000" sheet="1"/>
  <mergeCells count="2">
    <mergeCell ref="C6:D6"/>
    <mergeCell ref="F8:G10"/>
  </mergeCells>
  <conditionalFormatting sqref="D10">
    <cfRule type="containsBlanks" dxfId="5" priority="3">
      <formula>LEN(TRIM(D10))=0</formula>
    </cfRule>
  </conditionalFormatting>
  <conditionalFormatting sqref="D9">
    <cfRule type="containsBlanks" dxfId="4" priority="2">
      <formula>LEN(TRIM(D9))=0</formula>
    </cfRule>
  </conditionalFormatting>
  <conditionalFormatting sqref="F8">
    <cfRule type="containsBlanks" dxfId="3" priority="1">
      <formula>LEN(TRIM(F8))=0</formula>
    </cfRule>
  </conditionalFormatting>
  <dataValidations count="2">
    <dataValidation type="list" showInputMessage="1" showErrorMessage="1" promptTitle="Gestiona o No Pagos" prompt="Indique si su entidad Gestiona o No pagos o reliza Informes a traves de SIIF" sqref="D9" xr:uid="{00000000-0002-0000-0600-000000000000}">
      <formula1>$T$6:$T$7</formula1>
    </dataValidation>
    <dataValidation type="whole" operator="greaterThanOrEqual" showInputMessage="1" showErrorMessage="1" errorTitle="Numero Invalido" promptTitle="Ingrese la cantidad Solicitada" prompt="Ingrese la cantidad Solicitada" sqref="D10" xr:uid="{00000000-0002-0000-0600-000001000000}">
      <formula1>0</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6"/>
  <sheetViews>
    <sheetView showGridLines="0" topLeftCell="A13" workbookViewId="0">
      <selection activeCell="B23" sqref="B23:F26"/>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26" t="s">
        <v>10</v>
      </c>
      <c r="C2" s="126"/>
      <c r="D2" s="126"/>
      <c r="E2" s="126"/>
      <c r="F2" s="126"/>
      <c r="G2" s="126"/>
      <c r="H2" s="46"/>
      <c r="I2" s="46"/>
      <c r="J2" s="46"/>
      <c r="K2" s="46"/>
      <c r="L2" s="46"/>
      <c r="M2" s="47"/>
    </row>
    <row r="3" spans="2:13" ht="18.75" x14ac:dyDescent="0.3">
      <c r="B3" s="126" t="s">
        <v>11</v>
      </c>
      <c r="C3" s="126"/>
      <c r="D3" s="126"/>
      <c r="E3" s="126"/>
      <c r="F3" s="126"/>
      <c r="G3" s="126"/>
      <c r="H3" s="46"/>
      <c r="I3" s="46"/>
      <c r="J3" s="46"/>
      <c r="K3" s="46"/>
      <c r="L3" s="46"/>
      <c r="M3" s="47"/>
    </row>
    <row r="4" spans="2:13" ht="23.25" x14ac:dyDescent="0.35">
      <c r="B4" s="41"/>
      <c r="C4" s="90"/>
      <c r="D4" s="90" t="s">
        <v>172</v>
      </c>
      <c r="E4" s="41"/>
      <c r="F4" s="41"/>
      <c r="G4" s="41"/>
      <c r="H4" s="41"/>
      <c r="I4" s="41"/>
      <c r="J4" s="41"/>
      <c r="K4" s="41"/>
      <c r="L4" s="41"/>
      <c r="M4" s="41"/>
    </row>
    <row r="5" spans="2:13" ht="15.75" thickBot="1" x14ac:dyDescent="0.3">
      <c r="B5" t="s">
        <v>170</v>
      </c>
      <c r="C5" s="125" t="s">
        <v>188</v>
      </c>
      <c r="D5" s="125"/>
      <c r="E5" s="125"/>
      <c r="F5" s="125"/>
      <c r="G5" s="125"/>
      <c r="H5" s="6"/>
      <c r="I5" s="6"/>
      <c r="J5" s="6"/>
    </row>
    <row r="6" spans="2:13" ht="15.75" thickBot="1" x14ac:dyDescent="0.3">
      <c r="B6" t="s">
        <v>171</v>
      </c>
      <c r="C6" s="125" t="s">
        <v>184</v>
      </c>
      <c r="D6" s="125"/>
      <c r="E6" s="125"/>
      <c r="F6" s="125"/>
      <c r="G6" s="125"/>
      <c r="H6" s="45"/>
      <c r="I6" s="45"/>
      <c r="J6" s="45"/>
    </row>
    <row r="7" spans="2:13" x14ac:dyDescent="0.25">
      <c r="H7" s="6"/>
      <c r="I7" s="6"/>
      <c r="J7" s="6"/>
    </row>
    <row r="8" spans="2:13" x14ac:dyDescent="0.25">
      <c r="B8" t="s">
        <v>38</v>
      </c>
      <c r="C8" s="44" t="str">
        <f>+IF(SUM(USUARIOS!I12:J17)=0,"Falta diligenciar","")</f>
        <v/>
      </c>
      <c r="E8" t="s">
        <v>77</v>
      </c>
      <c r="F8" s="44" t="str">
        <f>+IF(PREJUDICIALES!$D$10="","Falta  actualizar","")</f>
        <v/>
      </c>
    </row>
    <row r="9" spans="2:13" x14ac:dyDescent="0.25">
      <c r="B9" s="43" t="s">
        <v>41</v>
      </c>
      <c r="C9" s="88">
        <f>+SUM(USUARIOS!I12:I17)/(6-SUM(USUARIOS!H12:H17))</f>
        <v>1</v>
      </c>
      <c r="E9" s="43" t="s">
        <v>46</v>
      </c>
      <c r="F9" s="87">
        <f>+PREJUDICIALES!$D$11</f>
        <v>0</v>
      </c>
    </row>
    <row r="10" spans="2:13" x14ac:dyDescent="0.25">
      <c r="B10" s="43" t="s">
        <v>39</v>
      </c>
      <c r="C10" s="87">
        <f>+ABOGADOS!$D$12+SUM(USUARIOS!I12:I17)</f>
        <v>10</v>
      </c>
      <c r="E10" s="43" t="s">
        <v>44</v>
      </c>
      <c r="F10" s="88" t="str">
        <f>IFERROR(PREJUDICIALES!$D$11/PREJUDICIALES!$D$10,"")</f>
        <v/>
      </c>
    </row>
    <row r="11" spans="2:13" x14ac:dyDescent="0.25">
      <c r="B11" s="43" t="s">
        <v>9</v>
      </c>
      <c r="C11" s="87" t="s">
        <v>108</v>
      </c>
      <c r="E11" s="43" t="s">
        <v>47</v>
      </c>
      <c r="F11" s="88" t="str">
        <f>IFERROR(PREJUDICIALES!$G$13/PREJUDICIALES!$V$3,"")</f>
        <v/>
      </c>
    </row>
    <row r="12" spans="2:13" x14ac:dyDescent="0.25">
      <c r="B12" s="43" t="s">
        <v>40</v>
      </c>
      <c r="C12" s="88">
        <f>IFERROR((ABOGADOS!$G$17+ABOGADOS!$G$18+ABOGADOS!$G$19*0.5)/ABOGADOS!D12,"")</f>
        <v>0.4</v>
      </c>
    </row>
    <row r="13" spans="2:13" x14ac:dyDescent="0.25">
      <c r="E13" t="s">
        <v>70</v>
      </c>
      <c r="F13" s="44" t="str">
        <f>+IF(ARBITRAMENTOS!T17=0,"Falta  actualizar","")</f>
        <v/>
      </c>
    </row>
    <row r="14" spans="2:13" x14ac:dyDescent="0.25">
      <c r="B14" t="s">
        <v>76</v>
      </c>
      <c r="C14" s="44" t="str">
        <f>+IF(JUDICIALES!$D$11="","Falta  actualizar","")</f>
        <v/>
      </c>
      <c r="E14" s="43" t="s">
        <v>45</v>
      </c>
      <c r="F14" s="87">
        <f>+ARBITRAMENTOS!D10</f>
        <v>0</v>
      </c>
    </row>
    <row r="15" spans="2:13" x14ac:dyDescent="0.25">
      <c r="B15" s="43" t="s">
        <v>42</v>
      </c>
      <c r="C15" s="87">
        <f>+JUDICIALES!$D$12</f>
        <v>10</v>
      </c>
      <c r="E15" s="43" t="s">
        <v>44</v>
      </c>
      <c r="F15" s="88" t="str">
        <f>IFERROR(ARBITRAMENTOS!D10/ARBITRAMENTOS!D9,"")</f>
        <v/>
      </c>
    </row>
    <row r="16" spans="2:13" x14ac:dyDescent="0.25">
      <c r="B16" s="43" t="s">
        <v>44</v>
      </c>
      <c r="C16" s="88">
        <f>IFERROR(JUDICIALES!$D$12/JUDICIALES!$D$11,"")</f>
        <v>1.25</v>
      </c>
    </row>
    <row r="17" spans="2:6" x14ac:dyDescent="0.25">
      <c r="B17" s="43" t="s">
        <v>50</v>
      </c>
      <c r="C17" s="88">
        <f>IFERROR(JUDICIALES!$G$11/JUDICIALES!$G$10,"")</f>
        <v>1</v>
      </c>
      <c r="E17" t="s">
        <v>73</v>
      </c>
      <c r="F17" s="44" t="str">
        <f>+IF(PAGOS!D9="","Falta  actualizar","")</f>
        <v/>
      </c>
    </row>
    <row r="18" spans="2:6" x14ac:dyDescent="0.25">
      <c r="B18" s="43" t="s">
        <v>43</v>
      </c>
      <c r="C18" s="87">
        <f>IFERROR(C15/ABOGADOS!$D$12,"")</f>
        <v>2</v>
      </c>
      <c r="E18" s="43" t="s">
        <v>48</v>
      </c>
      <c r="F18" s="87">
        <f>+PAGOS!D10</f>
        <v>0</v>
      </c>
    </row>
    <row r="19" spans="2:6" x14ac:dyDescent="0.25">
      <c r="B19" s="43" t="s">
        <v>75</v>
      </c>
      <c r="C19" s="88">
        <f>IFERROR(1-(JUDICIALES!$H$22+JUDICIALES!$H$23+JUDICIALES!$H$24)/(JUDICIALES!$G$22+JUDICIALES!$G$23+JUDICIALES!$G$24),"")</f>
        <v>0.25</v>
      </c>
      <c r="E19" s="43" t="s">
        <v>49</v>
      </c>
      <c r="F19" s="87" t="str">
        <f>+IF(PAGOS!D9="No","No aplica","si")</f>
        <v>No aplica</v>
      </c>
    </row>
    <row r="21" spans="2:6" ht="15.75" thickBot="1" x14ac:dyDescent="0.3"/>
    <row r="22" spans="2:6" x14ac:dyDescent="0.25">
      <c r="B22" s="2" t="s">
        <v>94</v>
      </c>
      <c r="C22" s="3"/>
      <c r="D22" s="3"/>
      <c r="E22" s="3"/>
      <c r="F22" s="4"/>
    </row>
    <row r="23" spans="2:6" x14ac:dyDescent="0.25">
      <c r="B23" s="127"/>
      <c r="C23" s="109"/>
      <c r="D23" s="109"/>
      <c r="E23" s="109"/>
      <c r="F23" s="110"/>
    </row>
    <row r="24" spans="2:6" x14ac:dyDescent="0.25">
      <c r="B24" s="111"/>
      <c r="C24" s="112"/>
      <c r="D24" s="112"/>
      <c r="E24" s="112"/>
      <c r="F24" s="113"/>
    </row>
    <row r="25" spans="2:6" x14ac:dyDescent="0.25">
      <c r="B25" s="111"/>
      <c r="C25" s="112"/>
      <c r="D25" s="112"/>
      <c r="E25" s="112"/>
      <c r="F25" s="113"/>
    </row>
    <row r="26" spans="2:6" x14ac:dyDescent="0.25">
      <c r="B26" s="114"/>
      <c r="C26" s="115"/>
      <c r="D26" s="115"/>
      <c r="E26" s="115"/>
      <c r="F26" s="116"/>
    </row>
  </sheetData>
  <sheetProtection algorithmName="SHA-512" hashValue="xLp+iVXktoCHjSyisMzeUqB3TFHZ3ECZVWfGHLrfjAZjidIlu5D3CLoewvx3qakIhGiDVMcS9XCeM/RFc9I93g==" saltValue="sgud4LPzkaR+TgKL0MQL3A==" spinCount="100000" sheet="1" objects="1" scenarios="1"/>
  <mergeCells count="5">
    <mergeCell ref="C5:G5"/>
    <mergeCell ref="C6:G6"/>
    <mergeCell ref="B2:G2"/>
    <mergeCell ref="B3:G3"/>
    <mergeCell ref="B23:F26"/>
  </mergeCells>
  <conditionalFormatting sqref="B23">
    <cfRule type="containsBlanks" dxfId="2" priority="3">
      <formula>LEN(TRIM(B23))=0</formula>
    </cfRule>
  </conditionalFormatting>
  <conditionalFormatting sqref="C5">
    <cfRule type="containsBlanks" dxfId="1" priority="2">
      <formula>LEN(TRIM(C5))=0</formula>
    </cfRule>
  </conditionalFormatting>
  <conditionalFormatting sqref="C6">
    <cfRule type="containsBlanks" dxfId="0" priority="1">
      <formula>LEN(TRIM(C6))=0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O18"/>
  <sheetViews>
    <sheetView topLeftCell="AW1" zoomScaleNormal="100" workbookViewId="0">
      <selection activeCell="BI3" sqref="BI3"/>
    </sheetView>
  </sheetViews>
  <sheetFormatPr baseColWidth="10" defaultColWidth="10.7109375" defaultRowHeight="15" x14ac:dyDescent="0.25"/>
  <cols>
    <col min="1" max="1" width="34.5703125" style="69" customWidth="1"/>
    <col min="2" max="2" width="29.5703125" style="69" customWidth="1"/>
    <col min="3" max="16384" width="10.7109375" style="69"/>
  </cols>
  <sheetData>
    <row r="2" spans="1:67" x14ac:dyDescent="0.25">
      <c r="A2" s="72" t="s">
        <v>37</v>
      </c>
      <c r="B2" s="72" t="s">
        <v>112</v>
      </c>
      <c r="C2" s="72" t="s">
        <v>21</v>
      </c>
      <c r="D2" s="72" t="s">
        <v>22</v>
      </c>
      <c r="E2" s="72" t="s">
        <v>26</v>
      </c>
      <c r="F2" s="72" t="s">
        <v>20</v>
      </c>
      <c r="G2" s="72" t="s">
        <v>101</v>
      </c>
      <c r="H2" s="73" t="s">
        <v>102</v>
      </c>
      <c r="I2" s="74" t="s">
        <v>114</v>
      </c>
      <c r="J2" s="74" t="s">
        <v>115</v>
      </c>
      <c r="K2" s="74" t="s">
        <v>116</v>
      </c>
      <c r="L2" s="74" t="s">
        <v>117</v>
      </c>
      <c r="M2" s="74" t="s">
        <v>118</v>
      </c>
      <c r="N2" s="74" t="s">
        <v>119</v>
      </c>
      <c r="O2" s="74" t="s">
        <v>120</v>
      </c>
      <c r="P2" s="72" t="s">
        <v>28</v>
      </c>
      <c r="Q2" s="72" t="s">
        <v>29</v>
      </c>
      <c r="R2" s="72" t="s">
        <v>30</v>
      </c>
      <c r="S2" s="72" t="s">
        <v>121</v>
      </c>
      <c r="T2" s="72" t="s">
        <v>122</v>
      </c>
      <c r="U2" s="72" t="s">
        <v>36</v>
      </c>
      <c r="V2" s="72" t="s">
        <v>123</v>
      </c>
      <c r="W2" s="72" t="s">
        <v>85</v>
      </c>
      <c r="X2" s="72" t="s">
        <v>86</v>
      </c>
      <c r="Y2" s="72" t="s">
        <v>87</v>
      </c>
      <c r="Z2" s="72" t="s">
        <v>88</v>
      </c>
      <c r="AA2" s="72" t="s">
        <v>89</v>
      </c>
      <c r="AB2" s="74" t="s">
        <v>124</v>
      </c>
      <c r="AC2" s="74" t="s">
        <v>125</v>
      </c>
      <c r="AD2" s="74" t="s">
        <v>126</v>
      </c>
      <c r="AE2" s="72" t="s">
        <v>34</v>
      </c>
      <c r="AF2" s="72" t="s">
        <v>61</v>
      </c>
      <c r="AG2" s="72" t="s">
        <v>62</v>
      </c>
      <c r="AH2" s="72" t="s">
        <v>35</v>
      </c>
      <c r="AI2" s="72" t="s">
        <v>127</v>
      </c>
      <c r="AJ2" s="72" t="s">
        <v>128</v>
      </c>
      <c r="AK2" s="72" t="s">
        <v>129</v>
      </c>
      <c r="AL2" s="72" t="s">
        <v>130</v>
      </c>
      <c r="AM2" s="72" t="s">
        <v>131</v>
      </c>
      <c r="AN2" s="72" t="s">
        <v>132</v>
      </c>
      <c r="AO2" s="72" t="s">
        <v>133</v>
      </c>
      <c r="AP2" s="72" t="s">
        <v>134</v>
      </c>
      <c r="AQ2" s="75" t="s">
        <v>54</v>
      </c>
      <c r="AR2" s="75" t="s">
        <v>55</v>
      </c>
      <c r="AS2" s="75" t="s">
        <v>51</v>
      </c>
      <c r="AT2" s="75" t="s">
        <v>52</v>
      </c>
      <c r="AU2" s="75" t="s">
        <v>53</v>
      </c>
      <c r="AV2" s="75" t="s">
        <v>56</v>
      </c>
      <c r="AW2" s="75" t="s">
        <v>69</v>
      </c>
      <c r="AX2" s="75" t="s">
        <v>58</v>
      </c>
      <c r="AY2" s="75" t="s">
        <v>59</v>
      </c>
      <c r="AZ2" s="75" t="s">
        <v>71</v>
      </c>
      <c r="BA2" s="75" t="s">
        <v>72</v>
      </c>
      <c r="BB2" s="76" t="s">
        <v>135</v>
      </c>
      <c r="BC2" s="76" t="s">
        <v>90</v>
      </c>
      <c r="BD2" s="77" t="s">
        <v>136</v>
      </c>
      <c r="BE2" s="77" t="s">
        <v>137</v>
      </c>
      <c r="BF2" s="77" t="s">
        <v>138</v>
      </c>
      <c r="BG2" s="77" t="s">
        <v>139</v>
      </c>
      <c r="BH2" s="77" t="s">
        <v>140</v>
      </c>
      <c r="BI2" s="77" t="s">
        <v>141</v>
      </c>
      <c r="BJ2" s="77" t="s">
        <v>142</v>
      </c>
      <c r="BK2" s="77" t="s">
        <v>143</v>
      </c>
      <c r="BL2" s="77" t="s">
        <v>144</v>
      </c>
      <c r="BM2" s="77" t="s">
        <v>145</v>
      </c>
      <c r="BN2" s="77" t="s">
        <v>146</v>
      </c>
      <c r="BO2" s="77" t="s">
        <v>147</v>
      </c>
    </row>
    <row r="3" spans="1:67" x14ac:dyDescent="0.25">
      <c r="A3" s="69" t="str">
        <f>'Resumen General'!C5</f>
        <v>TEVEANDINA LTDA - CANAL TRECE</v>
      </c>
      <c r="B3" s="69" t="str">
        <f>'Resumen General'!C6</f>
        <v>Yeniffer Latorre Casas</v>
      </c>
      <c r="C3" s="69">
        <f>+ABOGADOS!D11</f>
        <v>2</v>
      </c>
      <c r="D3" s="69">
        <f>+ABOGADOS!D12</f>
        <v>5</v>
      </c>
      <c r="E3" s="69">
        <f>+ABOGADOS!D13</f>
        <v>2</v>
      </c>
      <c r="F3" s="69">
        <f>+ABOGADOS!D14</f>
        <v>0</v>
      </c>
      <c r="G3" s="69">
        <f>+ABOGADOS!D17</f>
        <v>0</v>
      </c>
      <c r="H3" s="69">
        <f>+ABOGADOS!D18</f>
        <v>0</v>
      </c>
      <c r="I3" s="69">
        <f>+ABOGADOS!G10</f>
        <v>2</v>
      </c>
      <c r="J3" s="69">
        <f>+ABOGADOS!G11</f>
        <v>1</v>
      </c>
      <c r="K3" s="69">
        <f>+ABOGADOS!G12</f>
        <v>2</v>
      </c>
      <c r="L3" s="69">
        <f>+ABOGADOS!G17</f>
        <v>2</v>
      </c>
      <c r="M3" s="69">
        <f>+ABOGADOS!G18</f>
        <v>0</v>
      </c>
      <c r="N3" s="69">
        <f>+ABOGADOS!G19</f>
        <v>0</v>
      </c>
      <c r="O3" s="69">
        <f>+ABOGADOS!G21</f>
        <v>0</v>
      </c>
      <c r="P3" s="69">
        <f>+JUDICIALES!D11</f>
        <v>8</v>
      </c>
      <c r="Q3" s="69">
        <f>+JUDICIALES!D12</f>
        <v>10</v>
      </c>
      <c r="R3" s="69">
        <f>+JUDICIALES!D13</f>
        <v>1</v>
      </c>
      <c r="S3" s="69">
        <f>+JUDICIALES!D16</f>
        <v>3</v>
      </c>
      <c r="T3" s="69">
        <f>+JUDICIALES!D17</f>
        <v>0</v>
      </c>
      <c r="U3" s="69">
        <f>+JUDICIALES!D21</f>
        <v>11</v>
      </c>
      <c r="V3" s="69">
        <f>+JUDICIALES!D22</f>
        <v>0</v>
      </c>
      <c r="W3" s="69">
        <f>JUDICIALES!D28</f>
        <v>0</v>
      </c>
      <c r="X3" s="69">
        <f>JUDICIALES!D29</f>
        <v>0</v>
      </c>
      <c r="Y3" s="69">
        <f>JUDICIALES!D30</f>
        <v>0</v>
      </c>
      <c r="Z3" s="69">
        <f>JUDICIALES!D31</f>
        <v>0</v>
      </c>
      <c r="AA3" s="69">
        <f>JUDICIALES!D32</f>
        <v>0</v>
      </c>
      <c r="AB3" s="69">
        <f>+JUDICIALES!G9</f>
        <v>1</v>
      </c>
      <c r="AC3" s="69">
        <f>+JUDICIALES!G10</f>
        <v>1</v>
      </c>
      <c r="AD3" s="69">
        <f>+JUDICIALES!G11</f>
        <v>1</v>
      </c>
      <c r="AE3" s="69">
        <f>+JUDICIALES!G15</f>
        <v>6</v>
      </c>
      <c r="AF3" s="69">
        <f>+JUDICIALES!G16</f>
        <v>3</v>
      </c>
      <c r="AG3" s="69">
        <f>+JUDICIALES!G17</f>
        <v>2</v>
      </c>
      <c r="AH3" s="69">
        <f>+JUDICIALES!G18</f>
        <v>1</v>
      </c>
      <c r="AI3" s="69">
        <f>+JUDICIALES!G21</f>
        <v>1</v>
      </c>
      <c r="AJ3" s="69">
        <f>+JUDICIALES!G22</f>
        <v>4</v>
      </c>
      <c r="AK3" s="69">
        <f>+JUDICIALES!G23</f>
        <v>0</v>
      </c>
      <c r="AL3" s="69">
        <f>+JUDICIALES!G24</f>
        <v>0</v>
      </c>
      <c r="AM3" s="69">
        <f>+JUDICIALES!H21</f>
        <v>0</v>
      </c>
      <c r="AN3" s="69">
        <f>+JUDICIALES!H22</f>
        <v>3</v>
      </c>
      <c r="AO3" s="69">
        <f>+JUDICIALES!H23</f>
        <v>0</v>
      </c>
      <c r="AP3" s="69">
        <f>+JUDICIALES!H24</f>
        <v>0</v>
      </c>
      <c r="AQ3" s="69">
        <f>+PREJUDICIALES!D10</f>
        <v>0</v>
      </c>
      <c r="AR3" s="69">
        <f>+PREJUDICIALES!D11</f>
        <v>0</v>
      </c>
      <c r="AS3" s="69">
        <f>+PREJUDICIALES!D12</f>
        <v>0</v>
      </c>
      <c r="AT3" s="69">
        <f>+PREJUDICIALES!D13</f>
        <v>0</v>
      </c>
      <c r="AU3" s="69">
        <f>+PREJUDICIALES!D14</f>
        <v>0</v>
      </c>
      <c r="AV3" s="69">
        <f>+PREJUDICIALES!D17</f>
        <v>0</v>
      </c>
      <c r="AW3" s="69">
        <f>+PREJUDICIALES!D18</f>
        <v>0</v>
      </c>
      <c r="AX3" s="69">
        <f>+PREJUDICIALES!G12</f>
        <v>0</v>
      </c>
      <c r="AY3" s="69">
        <f>+PREJUDICIALES!G13</f>
        <v>0</v>
      </c>
      <c r="AZ3" s="69">
        <f>+ARBITRAMENTOS!D9</f>
        <v>0</v>
      </c>
      <c r="BA3" s="69">
        <f>+ARBITRAMENTOS!D10</f>
        <v>0</v>
      </c>
      <c r="BB3" s="69">
        <f>ARBITRAMENTOS!G9</f>
        <v>0</v>
      </c>
      <c r="BC3" s="69">
        <f>ARBITRAMENTOS!G10</f>
        <v>0</v>
      </c>
      <c r="BD3" s="69" t="str">
        <f>+PAGOS!D9</f>
        <v>No</v>
      </c>
      <c r="BE3" s="69">
        <f>+PAGOS!D10</f>
        <v>0</v>
      </c>
      <c r="BF3" s="70">
        <f>USUARIOS!D9</f>
        <v>44620</v>
      </c>
      <c r="BG3" s="70">
        <f>ABOGADOS!D7</f>
        <v>44629</v>
      </c>
      <c r="BH3" s="70">
        <f>JUDICIALES!D8</f>
        <v>44629</v>
      </c>
      <c r="BI3" s="69" t="str">
        <f>+USUARIOS!C19</f>
        <v>Se indicó por parte de la Dirección Jurídica y Administrativa lo siguiente:
1. Frente al perfil de Jefe Financiero, : "En cuanto a la última capacitación, es preciso indicar que, esta se llevó a cabo el pasado
18 de agosto y contó con la presencia de la Dra. María Fernanda Carrillo Méndez, quien en su momento ostentaba la mayoría de los perfiles creados en el sistema. No obstante, es importante reiterar que aquella también contó con la participación de quien en la actualidad
es la encargada de su manejo.". En consecuencia se deja en la fecha de capacitación, el certificado a nombre de la Dra. María Fernanda Carrillo Méndez, no sin antes recomendar a quien ostenta el perfil de Jefe Financiero, que efectúe la capcitación en el sistema Ekogui.
2. Respecto del perfil de Jefe Jurídico, se indicó: " Este usuario se encuentra en cabeza de la Directora Jurídica y Administrativa, quien para el 31 de diciembre de 2021 se encontraba a cargo Yivy Katherine Gómez Pardo. No obstante, para la fecha de realización de la última capacitación, la cual se realizó el 18 de agosto de 2021, se encontraba la Doctora María Fernanda Carrillo Méndez. Sin embargo, en aquella oportunidad se contó con la participación de las dos profesionales." No obstante, para la fecha de verificación de la información, el perfil de jefe jurídico presentó el nombre de la Dra. Maria Fernanda Carrillo Méndez. De otra parte, verificado el soporte de capacitación de ekogui, se identificó que en efecto la funcionaria Yivi Katherine Gómez Pardo, presentó certificado de fecha 18 de agosto de 2021.
3. La entidad no realiza pagos por SIIF, por lo tanto no requiere enlace de pagos.
4. Sobre el perfil de Secretario Técnico se señaló: "Este usuario se encuentra en cabeza de la Directora Jurídica y Administrativa, quien para el 31 de diciembre de 2021 se encontraba a cargo Yivy Katherine Gómez Pardo. No obstante, para la fecha de realización de la última capacitación,
la cual se realizó el 18 de agosto de 2021, se encontraba la Doctora María Fernanda Carrillo Méndez. Sin embargo, en aquella oportunidad se contó con la participación de las dos profesionales."No obstante, para la fecha de verificación de la información, el perfil de Secretario Técnico presentó el nombre de la Dra. Maria Fernanda Carrillo Méndez. De otra parte, verificado el soporte de capacitación de ekogui, se identificó que en efecto la funcionaria Yivi Katherine Gómez Pardo, presentó certificado de fecha 18 de agosto de 2021.
5. Para el perfil de Administrador de la entidad, se indicó: "Este usuario se encuentra en cabeza de la Directora Jurídica y Administrativa, quien para el 31 de diciembre de 2021 se encontraba a cargo Yivy Katherine Gómez Pardo. No obstante, para la fecha de realización de la última capacitación, la cual se realizó el 18 de agosto de 2021, se encontraba la Doctora María Fernanda Carrillo Méndez. Sin embargo, en aquella oportunidad se contó con la participación de las dos profesionales.". No obstante, al verificarse en la plataforma, la persona que ostenta el perfil sigue siendo la Doctora María Fernanda Carrillo Méndez, es decir, se encuentra desactualizada la información en el aplicativo de ekogui.</v>
      </c>
      <c r="BJ3" s="69" t="str">
        <f>+ABOGADOS!C22</f>
        <v>Existen dos abogados que se encuentran litigando, no obstante en el aplicativo ekogui, se encuentran activos 5 abogados. Por tal motivo, el equipo de la Oficina de Control Interno indagó con el personal de la Dirección Jurídica y Administrativa sobre tal situación, a lo que señalaron que a la fecha se encuentran tres procesos que no se han logrado terminar, por tal motivo éstos apoderados siguen en estado activo en el aplicativo de ekogui. Por lo anterior, esta es la situación del porqué de la diferencia presentada.</v>
      </c>
      <c r="BK3" s="69" t="str">
        <f>+JUDICIALES!F28</f>
        <v>El proceso identificado con número ekogui 194150 y código procesal No. 11001310500220110065800, no presenta abogado asignado, no obstante la Dirección Jurídica y Administrativa de la Entidad, señaló: "Este proceso finalizó con sentencia de segunda instancia del 14 de febrero de 2013. Actualmente se encuentra activo porque en su momento se solicitó a la Agencia Nacional de Defensa Jurídica del Estado activarlo con la finalidad de cargar los documentos que acrediten su finalización, por tal razón no tiene apoderado."
Se indagó sobre los procesos terminados en el segundo semestre, motivo por el cual el equipo de la Dirección Jurídica y Administrativa señaló: 1. Para el  proceso identificado con código procesal No. 11001310502620190028400 aparece terminado en la ruta Procesos Judiciales/Home/Estado - Terminado; no obstante al verificarse en la amtriz generada en el enlace de Accesos Rápidos/ Descargar Información básica de procesos judiciales "Terminados", no aparece el registro del mismo, por lo cual se recomienda consultar a la ANDJE para verificar si es un error de la plataforma u otra situación del aplicativo. 2. Proceso identificado con código procesal No. 25000232600019980236701 se cargó la ejecutoria del proceso para que quede formalmente cerrado en el aplicativo, no obstante el cierre de este proceso, no quedaría inmerso dentro del seguimiento del segundo semestre de la vigencia 2021. 3. El proceso con código procesal No. 11001334306620190001800 se indicó que el canal esta actuando como tercero interviniente, por lo cual no es el responsable de cerrar el proceso en el aplicativo, no obstante, el equipo de la OCI, recomendó comunicarse con la ANDJE para recibir instrucciones de como proceder para su cierre en el aplicativo.</v>
      </c>
      <c r="BL3" s="69" t="str">
        <f>+PREJUDICIALES!F17</f>
        <v>No se tienen observaciones al respecto, toda vez que la información reportada 
por la Dirección Jurídica y Administrativa, coincide con los reportes generados en el aplicativo ekogui.</v>
      </c>
      <c r="BM3" s="69" t="str">
        <f>+ARBITRAMENTOS!C13</f>
        <v>No se tienen observaciones al respecto, toda vez que la información reportada por la Dirección Jurídica y Administrativa, coincide con los reportes generados en el aplicativo ekogui.</v>
      </c>
      <c r="BN3" s="69" t="str">
        <f>+PAGOS!F8</f>
        <v>No se tienen observaciones al respecto, toda vez que la información reportada por la Dirección Jurídica y Administrativa, coincide con los reportes generados en el aplicativo ekogui.</v>
      </c>
      <c r="BO3" s="69">
        <f>'Resumen General'!B23</f>
        <v>0</v>
      </c>
    </row>
    <row r="12" spans="1:67" x14ac:dyDescent="0.25">
      <c r="A12" s="69" t="s">
        <v>37</v>
      </c>
      <c r="B12" s="69" t="s">
        <v>15</v>
      </c>
      <c r="C12" s="72" t="s">
        <v>16</v>
      </c>
      <c r="D12" s="72" t="s">
        <v>6</v>
      </c>
      <c r="E12" s="72" t="s">
        <v>7</v>
      </c>
      <c r="F12" s="72" t="s">
        <v>17</v>
      </c>
      <c r="G12" s="72" t="s">
        <v>79</v>
      </c>
    </row>
    <row r="13" spans="1:67" x14ac:dyDescent="0.25">
      <c r="A13" s="69" t="str">
        <f t="shared" ref="A13:A18" si="0">$A$3</f>
        <v>TEVEANDINA LTDA - CANAL TRECE</v>
      </c>
      <c r="B13" s="69" t="s">
        <v>0</v>
      </c>
      <c r="C13" s="69" t="str">
        <f>USUARIOS!C12</f>
        <v>Si</v>
      </c>
      <c r="D13" s="71">
        <f>USUARIOS!D12</f>
        <v>44574</v>
      </c>
      <c r="E13" s="69" t="str">
        <f>USUARIOS!E12</f>
        <v>Eliana Milena Sanabria Gómez</v>
      </c>
      <c r="F13" s="71">
        <f>USUARIOS!F12</f>
        <v>44426</v>
      </c>
      <c r="G13" s="69" t="str">
        <f>USUARIOS!G12</f>
        <v/>
      </c>
    </row>
    <row r="14" spans="1:67" x14ac:dyDescent="0.25">
      <c r="A14" s="69" t="str">
        <f t="shared" si="0"/>
        <v>TEVEANDINA LTDA - CANAL TRECE</v>
      </c>
      <c r="B14" s="69" t="s">
        <v>1</v>
      </c>
      <c r="C14" s="69" t="str">
        <f>USUARIOS!C13</f>
        <v>Si</v>
      </c>
      <c r="D14" s="71">
        <f>USUARIOS!D13</f>
        <v>43592</v>
      </c>
      <c r="E14" s="69" t="str">
        <f>USUARIOS!E13</f>
        <v>Maria Fernanda Carrillo Méndez</v>
      </c>
      <c r="F14" s="71">
        <f>USUARIOS!F13</f>
        <v>44426</v>
      </c>
      <c r="G14" s="69" t="str">
        <f>USUARIOS!G13</f>
        <v/>
      </c>
    </row>
    <row r="15" spans="1:67" x14ac:dyDescent="0.25">
      <c r="A15" s="69" t="str">
        <f t="shared" si="0"/>
        <v>TEVEANDINA LTDA - CANAL TRECE</v>
      </c>
      <c r="B15" s="69" t="s">
        <v>2</v>
      </c>
      <c r="C15" s="69" t="str">
        <f>USUARIOS!C14</f>
        <v>N/A</v>
      </c>
      <c r="D15" s="71">
        <f>USUARIOS!D14</f>
        <v>0</v>
      </c>
      <c r="E15" s="69">
        <f>USUARIOS!E14</f>
        <v>0</v>
      </c>
      <c r="F15" s="71">
        <f>USUARIOS!F14</f>
        <v>0</v>
      </c>
      <c r="G15" s="69" t="str">
        <f>USUARIOS!G14</f>
        <v/>
      </c>
    </row>
    <row r="16" spans="1:67" x14ac:dyDescent="0.25">
      <c r="A16" s="69" t="str">
        <f t="shared" si="0"/>
        <v>TEVEANDINA LTDA - CANAL TRECE</v>
      </c>
      <c r="B16" s="69" t="s">
        <v>3</v>
      </c>
      <c r="C16" s="69" t="str">
        <f>USUARIOS!C15</f>
        <v>Si</v>
      </c>
      <c r="D16" s="71">
        <f>USUARIOS!D15</f>
        <v>42580</v>
      </c>
      <c r="E16" s="69" t="str">
        <f>USUARIOS!E15</f>
        <v>Yeniffer Latorre Casas</v>
      </c>
      <c r="F16" s="71">
        <f>USUARIOS!F15</f>
        <v>44615</v>
      </c>
      <c r="G16" s="69" t="str">
        <f>USUARIOS!G15</f>
        <v/>
      </c>
    </row>
    <row r="17" spans="1:7" x14ac:dyDescent="0.25">
      <c r="A17" s="69" t="str">
        <f t="shared" si="0"/>
        <v>TEVEANDINA LTDA - CANAL TRECE</v>
      </c>
      <c r="B17" s="69" t="s">
        <v>4</v>
      </c>
      <c r="C17" s="69" t="str">
        <f>USUARIOS!C16</f>
        <v>Si</v>
      </c>
      <c r="D17" s="71">
        <f>USUARIOS!D16</f>
        <v>43592</v>
      </c>
      <c r="E17" s="69" t="str">
        <f>USUARIOS!E16</f>
        <v>Maria Fernanda Carrillo Méndez</v>
      </c>
      <c r="F17" s="71">
        <f>USUARIOS!F16</f>
        <v>44426</v>
      </c>
      <c r="G17" s="69" t="str">
        <f>USUARIOS!G16</f>
        <v/>
      </c>
    </row>
    <row r="18" spans="1:7" x14ac:dyDescent="0.25">
      <c r="A18" s="69" t="str">
        <f t="shared" si="0"/>
        <v>TEVEANDINA LTDA - CANAL TRECE</v>
      </c>
      <c r="B18" s="69" t="s">
        <v>5</v>
      </c>
      <c r="C18" s="69" t="str">
        <f>USUARIOS!C17</f>
        <v>Si</v>
      </c>
      <c r="D18" s="71">
        <f>USUARIOS!D17</f>
        <v>43521</v>
      </c>
      <c r="E18" s="69" t="str">
        <f>USUARIOS!E17</f>
        <v>Maria Fernanda Carrillo Méndez</v>
      </c>
      <c r="F18" s="71">
        <f>USUARIOS!F17</f>
        <v>44426</v>
      </c>
      <c r="G18" s="69" t="str">
        <f>USUARIOS!G17</f>
        <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Yeniffer Latorre Casa</cp:lastModifiedBy>
  <dcterms:created xsi:type="dcterms:W3CDTF">2020-06-25T21:16:25Z</dcterms:created>
  <dcterms:modified xsi:type="dcterms:W3CDTF">2022-03-17T16:59:20Z</dcterms:modified>
</cp:coreProperties>
</file>